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acc9b03f796a93/Circular economy decsion making/"/>
    </mc:Choice>
  </mc:AlternateContent>
  <xr:revisionPtr revIDLastSave="56" documentId="8_{DE7256A6-FF03-4A8F-8368-246E6BF1F64F}" xr6:coauthVersionLast="47" xr6:coauthVersionMax="47" xr10:uidLastSave="{E3201E41-C7B6-4CA8-8439-6D656453CD93}"/>
  <bookViews>
    <workbookView xWindow="-135" yWindow="-135" windowWidth="29070" windowHeight="15750" firstSheet="1" activeTab="1" xr2:uid="{F68AB2FE-E3F3-42D0-ADA7-90B09765CC11}"/>
  </bookViews>
  <sheets>
    <sheet name="Introduction" sheetId="11" r:id="rId1"/>
    <sheet name="ETO Truck Overview" sheetId="3" r:id="rId2"/>
    <sheet name="IV. Fiscal" sheetId="10" r:id="rId3"/>
    <sheet name="III. Days and KMs" sheetId="4" r:id="rId4"/>
    <sheet name="I. Investement Infra" sheetId="2" r:id="rId5"/>
    <sheet name="I. Investment TT" sheetId="1" r:id="rId6"/>
    <sheet name="II. Repayment bank loan" sheetId="6" r:id="rId7"/>
    <sheet name="III. Maintenance" sheetId="9" r:id="rId8"/>
    <sheet name="IV. Road tax" sheetId="8" r:id="rId9"/>
    <sheet name="III. Fuel costs" sheetId="7" r:id="rId10"/>
    <sheet name="III. Insurrance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B7" i="3"/>
  <c r="C3" i="12"/>
  <c r="C5" i="12" s="1"/>
  <c r="B3" i="12"/>
  <c r="B5" i="12" s="1"/>
  <c r="L25" i="6" l="1"/>
  <c r="H25" i="6"/>
  <c r="D25" i="6"/>
  <c r="L29" i="6"/>
  <c r="L28" i="6"/>
  <c r="J28" i="6" s="1"/>
  <c r="K28" i="6" s="1"/>
  <c r="K27" i="6"/>
  <c r="L27" i="6"/>
  <c r="J27" i="6" s="1"/>
  <c r="J29" i="6"/>
  <c r="K25" i="6"/>
  <c r="C29" i="6"/>
  <c r="C28" i="6"/>
  <c r="D29" i="6" s="1"/>
  <c r="B29" i="6" s="1"/>
  <c r="C27" i="6"/>
  <c r="D28" i="6"/>
  <c r="B28" i="6" s="1"/>
  <c r="B27" i="6"/>
  <c r="D27" i="6"/>
  <c r="F28" i="6"/>
  <c r="F27" i="6"/>
  <c r="H27" i="6"/>
  <c r="G25" i="6"/>
  <c r="C25" i="6"/>
  <c r="C2" i="3"/>
  <c r="B2" i="3"/>
  <c r="C6" i="3"/>
  <c r="B6" i="3"/>
  <c r="C3" i="9"/>
  <c r="C5" i="9" s="1"/>
  <c r="C8" i="9" s="1"/>
  <c r="B3" i="9"/>
  <c r="B5" i="9" s="1"/>
  <c r="B8" i="9" s="1"/>
  <c r="B11" i="1"/>
  <c r="F36" i="1" s="1"/>
  <c r="C8" i="3"/>
  <c r="B8" i="3"/>
  <c r="C9" i="3"/>
  <c r="B9" i="3"/>
  <c r="C8" i="7"/>
  <c r="B8" i="7"/>
  <c r="C5" i="7"/>
  <c r="C4" i="3"/>
  <c r="C3" i="3"/>
  <c r="L7" i="6"/>
  <c r="H7" i="6"/>
  <c r="D7" i="6"/>
  <c r="J7" i="6"/>
  <c r="J16" i="6" s="1"/>
  <c r="F7" i="6"/>
  <c r="F14" i="6" s="1"/>
  <c r="B7" i="6"/>
  <c r="B10" i="6" s="1"/>
  <c r="A8" i="4"/>
  <c r="E8" i="4"/>
  <c r="C8" i="4"/>
  <c r="C7" i="4"/>
  <c r="E7" i="4" s="1"/>
  <c r="B5" i="4"/>
  <c r="C2" i="4"/>
  <c r="G57" i="1"/>
  <c r="G58" i="1"/>
  <c r="G56" i="1"/>
  <c r="G55" i="1"/>
  <c r="G54" i="1"/>
  <c r="G53" i="1"/>
  <c r="G52" i="1"/>
  <c r="G51" i="1"/>
  <c r="G50" i="1"/>
  <c r="G49" i="1"/>
  <c r="F54" i="1"/>
  <c r="F53" i="1"/>
  <c r="F55" i="1"/>
  <c r="F52" i="1"/>
  <c r="F51" i="1"/>
  <c r="F50" i="1"/>
  <c r="F49" i="1"/>
  <c r="G48" i="1"/>
  <c r="F48" i="1"/>
  <c r="A24" i="1"/>
  <c r="F2" i="2"/>
  <c r="E7" i="2"/>
  <c r="E6" i="2"/>
  <c r="B6" i="2"/>
  <c r="E4" i="2" s="1"/>
  <c r="B4" i="2"/>
  <c r="E8" i="2" s="1"/>
  <c r="I33" i="1"/>
  <c r="G33" i="1"/>
  <c r="I18" i="1"/>
  <c r="G18" i="1"/>
  <c r="I3" i="1"/>
  <c r="G3" i="1"/>
  <c r="C4" i="1"/>
  <c r="B4" i="1"/>
  <c r="C17" i="1"/>
  <c r="H42" i="1" s="1"/>
  <c r="C16" i="1"/>
  <c r="H41" i="1" s="1"/>
  <c r="C15" i="1"/>
  <c r="H40" i="1" s="1"/>
  <c r="C14" i="1"/>
  <c r="H39" i="1" s="1"/>
  <c r="C13" i="1"/>
  <c r="H38" i="1" s="1"/>
  <c r="C12" i="1"/>
  <c r="H37" i="1" s="1"/>
  <c r="C11" i="1"/>
  <c r="H36" i="1" s="1"/>
  <c r="C10" i="1"/>
  <c r="H35" i="1" s="1"/>
  <c r="C9" i="1"/>
  <c r="H34" i="1" s="1"/>
  <c r="C8" i="1"/>
  <c r="H33" i="1" s="1"/>
  <c r="B14" i="1"/>
  <c r="F39" i="1" s="1"/>
  <c r="B13" i="1"/>
  <c r="F38" i="1" s="1"/>
  <c r="B12" i="1"/>
  <c r="F37" i="1" s="1"/>
  <c r="B10" i="1"/>
  <c r="F35" i="1" s="1"/>
  <c r="B9" i="1"/>
  <c r="F34" i="1" s="1"/>
  <c r="C7" i="1"/>
  <c r="H18" i="1" s="1"/>
  <c r="I19" i="1" s="1"/>
  <c r="H19" i="1" s="1"/>
  <c r="B7" i="1"/>
  <c r="C6" i="1"/>
  <c r="K29" i="6" l="1"/>
  <c r="D30" i="6"/>
  <c r="B30" i="6" s="1"/>
  <c r="C30" i="6" s="1"/>
  <c r="G27" i="6"/>
  <c r="K7" i="6"/>
  <c r="B8" i="1"/>
  <c r="F33" i="1" s="1"/>
  <c r="B6" i="1"/>
  <c r="F6" i="1" s="1"/>
  <c r="C7" i="6"/>
  <c r="D8" i="6" s="1"/>
  <c r="G7" i="6"/>
  <c r="F9" i="6"/>
  <c r="F10" i="6"/>
  <c r="F8" i="6"/>
  <c r="F11" i="6"/>
  <c r="B11" i="6"/>
  <c r="F12" i="6"/>
  <c r="F13" i="6"/>
  <c r="J8" i="6"/>
  <c r="J9" i="6"/>
  <c r="B8" i="6"/>
  <c r="B9" i="6"/>
  <c r="J10" i="6"/>
  <c r="J11" i="6"/>
  <c r="J12" i="6"/>
  <c r="J13" i="6"/>
  <c r="J14" i="6"/>
  <c r="J15" i="6"/>
  <c r="G60" i="1"/>
  <c r="F60" i="1"/>
  <c r="F7" i="1"/>
  <c r="F18" i="1"/>
  <c r="G19" i="1" s="1"/>
  <c r="H12" i="1"/>
  <c r="F8" i="1"/>
  <c r="H8" i="1"/>
  <c r="F9" i="1"/>
  <c r="H3" i="1"/>
  <c r="H4" i="1"/>
  <c r="H5" i="1"/>
  <c r="H6" i="1"/>
  <c r="H7" i="1"/>
  <c r="H9" i="1"/>
  <c r="F3" i="1"/>
  <c r="H10" i="1"/>
  <c r="F4" i="1"/>
  <c r="H11" i="1"/>
  <c r="F5" i="1"/>
  <c r="E14" i="2"/>
  <c r="E5" i="2"/>
  <c r="E2" i="2"/>
  <c r="F3" i="2" s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E9" i="2"/>
  <c r="E10" i="2"/>
  <c r="E11" i="2"/>
  <c r="E12" i="2"/>
  <c r="E18" i="2" s="1"/>
  <c r="E13" i="2"/>
  <c r="E15" i="2"/>
  <c r="E16" i="2"/>
  <c r="E3" i="2"/>
  <c r="I34" i="1"/>
  <c r="I20" i="1"/>
  <c r="I4" i="1"/>
  <c r="I5" i="1" s="1"/>
  <c r="I6" i="1" s="1"/>
  <c r="I7" i="1" s="1"/>
  <c r="I8" i="1" s="1"/>
  <c r="I9" i="1" s="1"/>
  <c r="I10" i="1" s="1"/>
  <c r="I11" i="1" s="1"/>
  <c r="I12" i="1" s="1"/>
  <c r="I13" i="1" s="1"/>
  <c r="C19" i="1"/>
  <c r="L30" i="6" l="1"/>
  <c r="J30" i="6" s="1"/>
  <c r="D31" i="6"/>
  <c r="B31" i="6" s="1"/>
  <c r="C31" i="6" s="1"/>
  <c r="G28" i="6"/>
  <c r="H28" i="6"/>
  <c r="G8" i="6"/>
  <c r="H8" i="6"/>
  <c r="B18" i="6"/>
  <c r="B5" i="3" s="1"/>
  <c r="K8" i="6"/>
  <c r="L8" i="6"/>
  <c r="B19" i="1"/>
  <c r="F18" i="6"/>
  <c r="C8" i="6"/>
  <c r="J18" i="6"/>
  <c r="F19" i="1"/>
  <c r="G20" i="1" s="1"/>
  <c r="F20" i="1" s="1"/>
  <c r="G4" i="1"/>
  <c r="G5" i="1" s="1"/>
  <c r="G6" i="1" s="1"/>
  <c r="F14" i="1"/>
  <c r="B3" i="3" s="1"/>
  <c r="H14" i="1"/>
  <c r="I35" i="1"/>
  <c r="G34" i="1"/>
  <c r="H20" i="1"/>
  <c r="I21" i="1" s="1"/>
  <c r="G7" i="1"/>
  <c r="B11" i="3" l="1"/>
  <c r="K30" i="6"/>
  <c r="H29" i="6"/>
  <c r="F29" i="6" s="1"/>
  <c r="K9" i="6"/>
  <c r="L9" i="6"/>
  <c r="G9" i="6"/>
  <c r="H9" i="6"/>
  <c r="C9" i="6"/>
  <c r="D9" i="6"/>
  <c r="G35" i="1"/>
  <c r="H21" i="1"/>
  <c r="I22" i="1" s="1"/>
  <c r="G21" i="1"/>
  <c r="G8" i="1"/>
  <c r="L31" i="6" l="1"/>
  <c r="J31" i="6" s="1"/>
  <c r="G29" i="6"/>
  <c r="H30" i="6" s="1"/>
  <c r="F30" i="6" s="1"/>
  <c r="G10" i="6"/>
  <c r="H10" i="6"/>
  <c r="C10" i="6"/>
  <c r="D10" i="6"/>
  <c r="K10" i="6"/>
  <c r="L10" i="6"/>
  <c r="G36" i="1"/>
  <c r="I36" i="1"/>
  <c r="H22" i="1"/>
  <c r="F21" i="1"/>
  <c r="G9" i="1"/>
  <c r="G10" i="1" s="1"/>
  <c r="K31" i="6" l="1"/>
  <c r="G30" i="6"/>
  <c r="D18" i="6"/>
  <c r="K11" i="6"/>
  <c r="L11" i="6"/>
  <c r="C11" i="6"/>
  <c r="D11" i="6"/>
  <c r="G11" i="6"/>
  <c r="H11" i="6"/>
  <c r="G37" i="1"/>
  <c r="I37" i="1"/>
  <c r="I23" i="1"/>
  <c r="G22" i="1"/>
  <c r="K32" i="6" l="1"/>
  <c r="L32" i="6"/>
  <c r="J32" i="6" s="1"/>
  <c r="G31" i="6"/>
  <c r="H31" i="6"/>
  <c r="F31" i="6" s="1"/>
  <c r="H12" i="6"/>
  <c r="G12" i="6"/>
  <c r="K12" i="6"/>
  <c r="L12" i="6"/>
  <c r="G38" i="1"/>
  <c r="I38" i="1"/>
  <c r="H23" i="1"/>
  <c r="I24" i="1" s="1"/>
  <c r="F22" i="1"/>
  <c r="G23" i="1" s="1"/>
  <c r="K33" i="6" l="1"/>
  <c r="L33" i="6"/>
  <c r="J33" i="6" s="1"/>
  <c r="H32" i="6"/>
  <c r="F32" i="6" s="1"/>
  <c r="G32" i="6" s="1"/>
  <c r="K13" i="6"/>
  <c r="L13" i="6"/>
  <c r="G13" i="6"/>
  <c r="H13" i="6"/>
  <c r="G39" i="1"/>
  <c r="I39" i="1"/>
  <c r="H24" i="1"/>
  <c r="I25" i="1" s="1"/>
  <c r="F23" i="1"/>
  <c r="G24" i="1" s="1"/>
  <c r="L34" i="6" l="1"/>
  <c r="J34" i="6" s="1"/>
  <c r="K34" i="6" s="1"/>
  <c r="H33" i="6"/>
  <c r="F33" i="6" s="1"/>
  <c r="G33" i="6"/>
  <c r="H34" i="6"/>
  <c r="G14" i="6"/>
  <c r="H14" i="6"/>
  <c r="H18" i="6" s="1"/>
  <c r="K14" i="6"/>
  <c r="L14" i="6"/>
  <c r="I40" i="1"/>
  <c r="F44" i="1"/>
  <c r="H25" i="1"/>
  <c r="I26" i="1" s="1"/>
  <c r="F24" i="1"/>
  <c r="F29" i="1" s="1"/>
  <c r="L35" i="6" l="1"/>
  <c r="J35" i="6" s="1"/>
  <c r="K35" i="6" s="1"/>
  <c r="H38" i="6"/>
  <c r="F34" i="6"/>
  <c r="K15" i="6"/>
  <c r="L15" i="6"/>
  <c r="I41" i="1"/>
  <c r="G40" i="1"/>
  <c r="H26" i="1"/>
  <c r="I27" i="1" s="1"/>
  <c r="G25" i="1"/>
  <c r="L36" i="6" l="1"/>
  <c r="J36" i="6" s="1"/>
  <c r="J38" i="6" s="1"/>
  <c r="F38" i="6"/>
  <c r="G34" i="6"/>
  <c r="K16" i="6"/>
  <c r="L16" i="6"/>
  <c r="L18" i="6" s="1"/>
  <c r="C5" i="3" s="1"/>
  <c r="C11" i="3" s="1"/>
  <c r="I42" i="1"/>
  <c r="H27" i="1"/>
  <c r="H29" i="1" s="1"/>
  <c r="L38" i="6" l="1"/>
  <c r="K36" i="6"/>
  <c r="H44" i="1"/>
  <c r="I28" i="1"/>
  <c r="I43" i="1" l="1"/>
  <c r="B38" i="6" l="1"/>
  <c r="D38" i="6"/>
</calcChain>
</file>

<file path=xl/sharedStrings.xml><?xml version="1.0" encoding="utf-8"?>
<sst xmlns="http://schemas.openxmlformats.org/spreadsheetml/2006/main" count="151" uniqueCount="82">
  <si>
    <t>Diesel Truck-Tractor</t>
  </si>
  <si>
    <t>Electric Truck-Tractor</t>
  </si>
  <si>
    <t>Ininitial Investment</t>
  </si>
  <si>
    <t>Residual value</t>
  </si>
  <si>
    <t>Ecocomic life</t>
  </si>
  <si>
    <t>SLD</t>
  </si>
  <si>
    <t>RDB</t>
  </si>
  <si>
    <t>SLD %</t>
  </si>
  <si>
    <t>RDB %</t>
  </si>
  <si>
    <t>SYD1</t>
  </si>
  <si>
    <t>SYD2</t>
  </si>
  <si>
    <t>SYD3</t>
  </si>
  <si>
    <t>SYD4</t>
  </si>
  <si>
    <t>SYD5</t>
  </si>
  <si>
    <t>SYD6</t>
  </si>
  <si>
    <t>SYD7</t>
  </si>
  <si>
    <t>SYD8</t>
  </si>
  <si>
    <t>SYD9</t>
  </si>
  <si>
    <t>SYD10</t>
  </si>
  <si>
    <t>SUM SYD</t>
  </si>
  <si>
    <t>II - RV</t>
  </si>
  <si>
    <t>Depreciation DTT</t>
  </si>
  <si>
    <t>Depreciation ETT</t>
  </si>
  <si>
    <t>Bookvalue DTT</t>
  </si>
  <si>
    <t>Book value ETT</t>
  </si>
  <si>
    <t>SYD</t>
  </si>
  <si>
    <t>Electric Infra</t>
  </si>
  <si>
    <t>Bookvalue Elect.Infra</t>
  </si>
  <si>
    <t>Depreciation Elect.Infra</t>
  </si>
  <si>
    <t>SYD factor ETT</t>
  </si>
  <si>
    <t>Total</t>
  </si>
  <si>
    <t>SYD factor DTT</t>
  </si>
  <si>
    <t>Number of effective days</t>
  </si>
  <si>
    <t>KMs per day</t>
  </si>
  <si>
    <t>Total KMs per year</t>
  </si>
  <si>
    <t>Total KMs of economic life</t>
  </si>
  <si>
    <t>DTT</t>
  </si>
  <si>
    <t>ETT</t>
  </si>
  <si>
    <t>years =</t>
  </si>
  <si>
    <t>Investment</t>
  </si>
  <si>
    <t>Interest rate</t>
  </si>
  <si>
    <t>Amount</t>
  </si>
  <si>
    <t>Number of years</t>
  </si>
  <si>
    <t>Repayment</t>
  </si>
  <si>
    <t>Interest</t>
  </si>
  <si>
    <t>Year</t>
  </si>
  <si>
    <t>ETT Infra</t>
  </si>
  <si>
    <t>Loan balance</t>
  </si>
  <si>
    <t>Depreciation costs per km</t>
  </si>
  <si>
    <t>Maintenance costs per km</t>
  </si>
  <si>
    <t>Road tax costs per km</t>
  </si>
  <si>
    <t>Fuel costs per km</t>
  </si>
  <si>
    <t>Remark</t>
  </si>
  <si>
    <t>Cost category</t>
  </si>
  <si>
    <t>Depreciation Infra costs per km</t>
  </si>
  <si>
    <t>Expected price per liter Diesel</t>
  </si>
  <si>
    <t>Expected-price per kWh (return trip)</t>
  </si>
  <si>
    <t>Expected price per kWh (start trip)</t>
  </si>
  <si>
    <t>Consumption per km (liter &amp; kWh)</t>
  </si>
  <si>
    <t>Average price kWh</t>
  </si>
  <si>
    <t>Energy cost per km</t>
  </si>
  <si>
    <t>Costs per km</t>
  </si>
  <si>
    <t>Road tax per km</t>
  </si>
  <si>
    <t>Interest costs per km (TT &amp; Infra)</t>
  </si>
  <si>
    <t>Annual costs</t>
  </si>
  <si>
    <t>BatteryReplacemen costs</t>
  </si>
  <si>
    <t>Economic lfe</t>
  </si>
  <si>
    <t>Total  costs</t>
  </si>
  <si>
    <t>Total maintence costs</t>
  </si>
  <si>
    <t>Investment tax (+)</t>
  </si>
  <si>
    <t>Investment subsidy (-)</t>
  </si>
  <si>
    <t>Investment tax (+) or subsidy (-)</t>
  </si>
  <si>
    <t>Method</t>
  </si>
  <si>
    <t>SLR</t>
  </si>
  <si>
    <t>ANN</t>
  </si>
  <si>
    <t>Overview of the Investment Decision Model</t>
  </si>
  <si>
    <t>Description</t>
  </si>
  <si>
    <t>Abbreviation</t>
  </si>
  <si>
    <t>Insurrance costs per km</t>
  </si>
  <si>
    <t>Insurrance costs per year</t>
  </si>
  <si>
    <t>Number of km per year</t>
  </si>
  <si>
    <t>Insurance cost per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</si>
</sst>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0.0%"/>
    <numFmt numFmtId="165" formatCode="0.0000000%"/>
    <numFmt numFmtId="166" formatCode="0.000"/>
    <numFmt numFmtId="167" formatCode="_ [$€-2]\ * #,##0.00_ ;_ [$€-2]\ * \-#,##0.00_ ;_ [$€-2]\ * &quot;-&quot;??_ ;_ @_ 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2" applyNumberFormat="1" applyFont="1" applyBorder="1"/>
    <xf numFmtId="0" fontId="0" fillId="2" borderId="1" xfId="0" applyFill="1" applyBorder="1"/>
    <xf numFmtId="8" fontId="0" fillId="0" borderId="1" xfId="0" applyNumberFormat="1" applyBorder="1"/>
    <xf numFmtId="0" fontId="2" fillId="2" borderId="1" xfId="0" applyFont="1" applyFill="1" applyBorder="1"/>
    <xf numFmtId="0" fontId="2" fillId="0" borderId="1" xfId="0" applyFont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1" xfId="1" applyFont="1" applyFill="1" applyBorder="1"/>
    <xf numFmtId="0" fontId="0" fillId="3" borderId="1" xfId="0" applyFill="1" applyBorder="1"/>
    <xf numFmtId="8" fontId="0" fillId="0" borderId="1" xfId="1" applyNumberFormat="1" applyFont="1" applyBorder="1"/>
    <xf numFmtId="165" fontId="0" fillId="0" borderId="0" xfId="2" applyNumberFormat="1" applyFont="1"/>
    <xf numFmtId="166" fontId="0" fillId="0" borderId="0" xfId="0" applyNumberFormat="1"/>
    <xf numFmtId="164" fontId="0" fillId="3" borderId="1" xfId="2" applyNumberFormat="1" applyFont="1" applyFill="1" applyBorder="1"/>
    <xf numFmtId="8" fontId="0" fillId="3" borderId="1" xfId="0" applyNumberForma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2" fontId="0" fillId="0" borderId="1" xfId="1" applyNumberFormat="1" applyFont="1" applyBorder="1"/>
    <xf numFmtId="2" fontId="0" fillId="2" borderId="1" xfId="0" applyNumberFormat="1" applyFill="1" applyBorder="1"/>
    <xf numFmtId="2" fontId="0" fillId="2" borderId="1" xfId="1" applyNumberFormat="1" applyFont="1" applyFill="1" applyBorder="1"/>
    <xf numFmtId="0" fontId="0" fillId="0" borderId="1" xfId="0" quotePrefix="1" applyBorder="1" applyAlignment="1">
      <alignment horizontal="center"/>
    </xf>
    <xf numFmtId="167" fontId="0" fillId="0" borderId="1" xfId="0" applyNumberFormat="1" applyBorder="1"/>
    <xf numFmtId="0" fontId="2" fillId="0" borderId="0" xfId="0" applyFont="1"/>
    <xf numFmtId="9" fontId="2" fillId="0" borderId="0" xfId="0" applyNumberFormat="1" applyFont="1"/>
    <xf numFmtId="44" fontId="2" fillId="0" borderId="1" xfId="1" applyFont="1" applyBorder="1" applyAlignment="1">
      <alignment horizontal="left"/>
    </xf>
    <xf numFmtId="167" fontId="2" fillId="0" borderId="1" xfId="0" applyNumberFormat="1" applyFont="1" applyBorder="1"/>
    <xf numFmtId="44" fontId="2" fillId="0" borderId="1" xfId="1" applyFont="1" applyBorder="1"/>
    <xf numFmtId="44" fontId="0" fillId="2" borderId="1" xfId="0" applyNumberFormat="1" applyFill="1" applyBorder="1"/>
    <xf numFmtId="8" fontId="0" fillId="0" borderId="0" xfId="0" applyNumberFormat="1"/>
    <xf numFmtId="8" fontId="2" fillId="0" borderId="1" xfId="0" applyNumberFormat="1" applyFont="1" applyBorder="1"/>
    <xf numFmtId="0" fontId="2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'I. Investement Infra'!$E$1</c:f>
              <c:strCache>
                <c:ptCount val="1"/>
                <c:pt idx="0">
                  <c:v>Depreciation Elect.Infra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'I. Investement Infra'!$E$2:$E$16</c:f>
              <c:numCache>
                <c:formatCode>_("€"* #,##0.00_);_("€"* \(#,##0.00\);_("€"* "-"??_);_(@_)</c:formatCode>
                <c:ptCount val="15"/>
                <c:pt idx="0">
                  <c:v>1266.6666666666667</c:v>
                </c:pt>
                <c:pt idx="1">
                  <c:v>1266.6666666666667</c:v>
                </c:pt>
                <c:pt idx="2">
                  <c:v>1266.6666666666667</c:v>
                </c:pt>
                <c:pt idx="3">
                  <c:v>1266.6666666666667</c:v>
                </c:pt>
                <c:pt idx="4">
                  <c:v>1266.6666666666667</c:v>
                </c:pt>
                <c:pt idx="5">
                  <c:v>1266.6666666666667</c:v>
                </c:pt>
                <c:pt idx="6">
                  <c:v>1266.6666666666667</c:v>
                </c:pt>
                <c:pt idx="7">
                  <c:v>1266.6666666666667</c:v>
                </c:pt>
                <c:pt idx="8">
                  <c:v>1266.6666666666667</c:v>
                </c:pt>
                <c:pt idx="9">
                  <c:v>1266.6666666666667</c:v>
                </c:pt>
                <c:pt idx="10">
                  <c:v>1266.6666666666667</c:v>
                </c:pt>
                <c:pt idx="11">
                  <c:v>1266.6666666666667</c:v>
                </c:pt>
                <c:pt idx="12">
                  <c:v>1266.6666666666667</c:v>
                </c:pt>
                <c:pt idx="13">
                  <c:v>1266.6666666666667</c:v>
                </c:pt>
                <c:pt idx="14">
                  <c:v>1266.6666666666667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D-40B9-A549-2E3FD3E6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813600"/>
        <c:axId val="1656816000"/>
      </c:lineChart>
      <c:catAx>
        <c:axId val="1656813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6000"/>
        <c:crosses val="autoZero"/>
        <c:auto val="1"/>
        <c:lblAlgn val="ctr"/>
        <c:lblOffset val="100"/>
        <c:noMultiLvlLbl val="0"/>
      </c:catAx>
      <c:valAx>
        <c:axId val="16568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'I. Investment TT'!$F$2</c:f>
              <c:strCache>
                <c:ptCount val="1"/>
                <c:pt idx="0">
                  <c:v>Depreciation DTT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'I. Investment TT'!$F$3:$F$9</c:f>
              <c:numCache>
                <c:formatCode>_("€"* #,##0.00_);_("€"* \(#,##0.00\);_("€"* "-"??_);_(@_)</c:formatCode>
                <c:ptCount val="7"/>
                <c:pt idx="0">
                  <c:v>16071.428571428571</c:v>
                </c:pt>
                <c:pt idx="1">
                  <c:v>16071.428571428571</c:v>
                </c:pt>
                <c:pt idx="2">
                  <c:v>16071.428571428571</c:v>
                </c:pt>
                <c:pt idx="3">
                  <c:v>16071.428571428571</c:v>
                </c:pt>
                <c:pt idx="4">
                  <c:v>16071.428571428571</c:v>
                </c:pt>
                <c:pt idx="5">
                  <c:v>16071.428571428571</c:v>
                </c:pt>
                <c:pt idx="6">
                  <c:v>16071.428571428571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C-4842-BE78-003EECB2DB67}"/>
            </c:ext>
          </c:extLst>
        </c:ser>
        <c:ser>
          <c:idx val="1"/>
          <c:order val="1"/>
          <c:tx>
            <c:strRef>
              <c:f>'I. Investment TT'!$H$2</c:f>
              <c:strCache>
                <c:ptCount val="1"/>
                <c:pt idx="0">
                  <c:v>Depreciation ETT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'I. Investment TT'!$H$3:$H$12</c:f>
              <c:numCache>
                <c:formatCode>_("€"* #,##0.00_);_("€"* \(#,##0.00\);_("€"* "-"??_);_(@_)</c:formatCode>
                <c:ptCount val="10"/>
                <c:pt idx="0">
                  <c:v>29700</c:v>
                </c:pt>
                <c:pt idx="1">
                  <c:v>29700</c:v>
                </c:pt>
                <c:pt idx="2">
                  <c:v>29700</c:v>
                </c:pt>
                <c:pt idx="3">
                  <c:v>29700</c:v>
                </c:pt>
                <c:pt idx="4">
                  <c:v>29700</c:v>
                </c:pt>
                <c:pt idx="5">
                  <c:v>29700</c:v>
                </c:pt>
                <c:pt idx="6">
                  <c:v>29700</c:v>
                </c:pt>
                <c:pt idx="7">
                  <c:v>29700</c:v>
                </c:pt>
                <c:pt idx="8">
                  <c:v>29700</c:v>
                </c:pt>
                <c:pt idx="9">
                  <c:v>29700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C-4842-BE78-003EECB2D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813600"/>
        <c:axId val="1656816000"/>
      </c:lineChart>
      <c:catAx>
        <c:axId val="1656813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6000"/>
        <c:crosses val="autoZero"/>
        <c:auto val="1"/>
        <c:lblAlgn val="ctr"/>
        <c:lblOffset val="100"/>
        <c:noMultiLvlLbl val="0"/>
      </c:catAx>
      <c:valAx>
        <c:axId val="16568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'I. Investment TT'!$F$17</c:f>
              <c:strCache>
                <c:ptCount val="1"/>
                <c:pt idx="0">
                  <c:v>Depreciation DTT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'I. Investment TT'!$F$18:$F$24</c:f>
              <c:numCache>
                <c:formatCode>_("€"* #,##0.00_);_("€"* \(#,##0.00\);_("€"* "-"??_);_(@_)</c:formatCode>
                <c:ptCount val="7"/>
                <c:pt idx="0">
                  <c:v>35039.290874855993</c:v>
                </c:pt>
                <c:pt idx="1">
                  <c:v>25217.27563475386</c:v>
                </c:pt>
                <c:pt idx="2">
                  <c:v>18148.511986453384</c:v>
                </c:pt>
                <c:pt idx="3">
                  <c:v>13061.22406294018</c:v>
                </c:pt>
                <c:pt idx="4">
                  <c:v>9399.9758299559453</c:v>
                </c:pt>
                <c:pt idx="5">
                  <c:v>6765.0279313764067</c:v>
                </c:pt>
                <c:pt idx="6">
                  <c:v>4868.6936796642203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5-40DF-9B79-DF4F75C51865}"/>
            </c:ext>
          </c:extLst>
        </c:ser>
        <c:ser>
          <c:idx val="1"/>
          <c:order val="1"/>
          <c:tx>
            <c:strRef>
              <c:f>'I. Investment TT'!$H$17</c:f>
              <c:strCache>
                <c:ptCount val="1"/>
                <c:pt idx="0">
                  <c:v>Depreciation ETT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'I. Investment TT'!$H$18:$H$27</c:f>
              <c:numCache>
                <c:formatCode>_("€"* #,##0.00_);_("€"* \(#,##0.00\);_("€"* "-"??_);_(@_)</c:formatCode>
                <c:ptCount val="10"/>
                <c:pt idx="0">
                  <c:v>67871.682540987109</c:v>
                </c:pt>
                <c:pt idx="1">
                  <c:v>53912.39378054913</c:v>
                </c:pt>
                <c:pt idx="2">
                  <c:v>42824.136581463921</c:v>
                </c:pt>
                <c:pt idx="3">
                  <c:v>34016.420814345765</c:v>
                </c:pt>
                <c:pt idx="4">
                  <c:v>27020.20349709758</c:v>
                </c:pt>
                <c:pt idx="5">
                  <c:v>21462.910545740378</c:v>
                </c:pt>
                <c:pt idx="6">
                  <c:v>17048.59584584312</c:v>
                </c:pt>
                <c:pt idx="7">
                  <c:v>13542.181042756285</c:v>
                </c:pt>
                <c:pt idx="8">
                  <c:v>10756.936762009229</c:v>
                </c:pt>
                <c:pt idx="9">
                  <c:v>8544.5385892075192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5-40DF-9B79-DF4F75C5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813600"/>
        <c:axId val="1656816000"/>
      </c:lineChart>
      <c:catAx>
        <c:axId val="1656813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6000"/>
        <c:crosses val="autoZero"/>
        <c:auto val="1"/>
        <c:lblAlgn val="ctr"/>
        <c:lblOffset val="100"/>
        <c:noMultiLvlLbl val="0"/>
      </c:catAx>
      <c:valAx>
        <c:axId val="16568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'I. Investment TT'!$F$32</c:f>
              <c:strCache>
                <c:ptCount val="1"/>
                <c:pt idx="0">
                  <c:v>Depreciation DTT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'I. Investment TT'!$F$33:$F$39</c:f>
              <c:numCache>
                <c:formatCode>"€"#,##0.00_);[Red]\("€"#,##0.00\)</c:formatCode>
                <c:ptCount val="7"/>
                <c:pt idx="0">
                  <c:v>28125</c:v>
                </c:pt>
                <c:pt idx="1">
                  <c:v>24107.142857142859</c:v>
                </c:pt>
                <c:pt idx="2">
                  <c:v>20089.285714285714</c:v>
                </c:pt>
                <c:pt idx="3">
                  <c:v>16071.428571428571</c:v>
                </c:pt>
                <c:pt idx="4">
                  <c:v>12053.571428571429</c:v>
                </c:pt>
                <c:pt idx="5">
                  <c:v>8035.7142857142853</c:v>
                </c:pt>
                <c:pt idx="6">
                  <c:v>4017.8571428571427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1-4485-B27C-A8B36D9B4376}"/>
            </c:ext>
          </c:extLst>
        </c:ser>
        <c:ser>
          <c:idx val="1"/>
          <c:order val="1"/>
          <c:tx>
            <c:strRef>
              <c:f>'I. Investment TT'!$H$32</c:f>
              <c:strCache>
                <c:ptCount val="1"/>
                <c:pt idx="0">
                  <c:v>Depreciation ETT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'I. Investment TT'!$H$33:$H$42</c:f>
              <c:numCache>
                <c:formatCode>"€"#,##0.00_);[Red]\("€"#,##0.00\)</c:formatCode>
                <c:ptCount val="10"/>
                <c:pt idx="0">
                  <c:v>54000</c:v>
                </c:pt>
                <c:pt idx="1">
                  <c:v>48600</c:v>
                </c:pt>
                <c:pt idx="2">
                  <c:v>43200</c:v>
                </c:pt>
                <c:pt idx="3">
                  <c:v>37800</c:v>
                </c:pt>
                <c:pt idx="4">
                  <c:v>32400</c:v>
                </c:pt>
                <c:pt idx="5">
                  <c:v>27000</c:v>
                </c:pt>
                <c:pt idx="6">
                  <c:v>21600</c:v>
                </c:pt>
                <c:pt idx="7">
                  <c:v>16200</c:v>
                </c:pt>
                <c:pt idx="8">
                  <c:v>10800</c:v>
                </c:pt>
                <c:pt idx="9">
                  <c:v>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1-4485-B27C-A8B36D9B4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813600"/>
        <c:axId val="1656816000"/>
      </c:lineChart>
      <c:catAx>
        <c:axId val="1656813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6000"/>
        <c:crosses val="autoZero"/>
        <c:auto val="1"/>
        <c:lblAlgn val="ctr"/>
        <c:lblOffset val="100"/>
        <c:noMultiLvlLbl val="0"/>
      </c:catAx>
      <c:valAx>
        <c:axId val="16568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'I. Investment TT'!$F$47</c:f>
              <c:strCache>
                <c:ptCount val="1"/>
                <c:pt idx="0">
                  <c:v>SYD factor DTT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'I. Investment TT'!$F$49:$F$55</c:f>
              <c:numCache>
                <c:formatCode>0.00</c:formatCode>
                <c:ptCount val="7"/>
                <c:pt idx="0">
                  <c:v>0.25</c:v>
                </c:pt>
                <c:pt idx="1">
                  <c:v>0.21428571428571427</c:v>
                </c:pt>
                <c:pt idx="2">
                  <c:v>0.17857142857142858</c:v>
                </c:pt>
                <c:pt idx="3">
                  <c:v>0.14285714285714285</c:v>
                </c:pt>
                <c:pt idx="4">
                  <c:v>0.10714285714285714</c:v>
                </c:pt>
                <c:pt idx="5">
                  <c:v>7.1428571428571425E-2</c:v>
                </c:pt>
                <c:pt idx="6">
                  <c:v>3.5714285714285712E-2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E-4E4E-9C8A-08E6CC287C90}"/>
            </c:ext>
          </c:extLst>
        </c:ser>
        <c:ser>
          <c:idx val="1"/>
          <c:order val="1"/>
          <c:tx>
            <c:strRef>
              <c:f>'I. Investment TT'!$G$47</c:f>
              <c:strCache>
                <c:ptCount val="1"/>
                <c:pt idx="0">
                  <c:v>SYD factor ETT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'I. Investment TT'!$G$49:$G$58</c:f>
              <c:numCache>
                <c:formatCode>0.00</c:formatCode>
                <c:ptCount val="10"/>
                <c:pt idx="0">
                  <c:v>0.18181818181818182</c:v>
                </c:pt>
                <c:pt idx="1">
                  <c:v>0.16363636363636364</c:v>
                </c:pt>
                <c:pt idx="2">
                  <c:v>0.14545454545454545</c:v>
                </c:pt>
                <c:pt idx="3">
                  <c:v>0.12727272727272726</c:v>
                </c:pt>
                <c:pt idx="4">
                  <c:v>0.10909090909090909</c:v>
                </c:pt>
                <c:pt idx="5">
                  <c:v>9.0909090909090912E-2</c:v>
                </c:pt>
                <c:pt idx="6">
                  <c:v>7.2727272727272724E-2</c:v>
                </c:pt>
                <c:pt idx="7">
                  <c:v>5.4545454545454543E-2</c:v>
                </c:pt>
                <c:pt idx="8">
                  <c:v>3.6363636363636362E-2</c:v>
                </c:pt>
                <c:pt idx="9">
                  <c:v>1.8181818181818181E-2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E-4E4E-9C8A-08E6CC287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813600"/>
        <c:axId val="1656816000"/>
      </c:lineChart>
      <c:catAx>
        <c:axId val="1656813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6000"/>
        <c:crosses val="autoZero"/>
        <c:auto val="1"/>
        <c:lblAlgn val="ctr"/>
        <c:lblOffset val="100"/>
        <c:noMultiLvlLbl val="0"/>
      </c:catAx>
      <c:valAx>
        <c:axId val="16568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65681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9</xdr:col>
      <xdr:colOff>545852</xdr:colOff>
      <xdr:row>31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582CB9-3F96-E7DD-41F7-DEF0D9BDA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0"/>
          <a:ext cx="7403852" cy="5057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12</xdr:col>
      <xdr:colOff>714375</xdr:colOff>
      <xdr:row>15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B6F2B6E-8DAE-4046-A587-0AB7324D2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</xdr:colOff>
      <xdr:row>1</xdr:row>
      <xdr:rowOff>38100</xdr:rowOff>
    </xdr:from>
    <xdr:to>
      <xdr:col>15</xdr:col>
      <xdr:colOff>761999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EC35C4-E0ED-F86C-8A64-8E7EA7002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16</xdr:row>
      <xdr:rowOff>0</xdr:rowOff>
    </xdr:from>
    <xdr:to>
      <xdr:col>15</xdr:col>
      <xdr:colOff>714375</xdr:colOff>
      <xdr:row>28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15F1C4-7760-4EC2-9169-8B940F9F2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714375</xdr:colOff>
      <xdr:row>43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F44E7C-673D-4445-B237-22A35B0F7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46</xdr:row>
      <xdr:rowOff>0</xdr:rowOff>
    </xdr:from>
    <xdr:to>
      <xdr:col>13</xdr:col>
      <xdr:colOff>171450</xdr:colOff>
      <xdr:row>58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5EFAD0-66A2-4029-947C-097697D9C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45BC-F7A5-4EC7-B9FC-A8BF4A534EF7}">
  <dimension ref="A1:M32"/>
  <sheetViews>
    <sheetView workbookViewId="0">
      <selection activeCell="L8" sqref="L8"/>
    </sheetView>
  </sheetViews>
  <sheetFormatPr defaultRowHeight="15" x14ac:dyDescent="0.2"/>
  <cols>
    <col min="12" max="12" width="15.44140625" customWidth="1"/>
    <col min="13" max="13" width="51.33203125" customWidth="1"/>
  </cols>
  <sheetData>
    <row r="1" spans="1:13" ht="15.75" x14ac:dyDescent="0.25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L1" s="5" t="s">
        <v>77</v>
      </c>
      <c r="M1" s="5" t="s">
        <v>76</v>
      </c>
    </row>
    <row r="2" spans="1:13" x14ac:dyDescent="0.2">
      <c r="L2" s="1" t="s">
        <v>36</v>
      </c>
      <c r="M2" s="1"/>
    </row>
    <row r="3" spans="1:13" x14ac:dyDescent="0.2">
      <c r="L3" s="1" t="s">
        <v>37</v>
      </c>
      <c r="M3" s="1"/>
    </row>
    <row r="4" spans="1:13" x14ac:dyDescent="0.2">
      <c r="L4" s="1" t="s">
        <v>46</v>
      </c>
      <c r="M4" s="1"/>
    </row>
    <row r="5" spans="1:13" x14ac:dyDescent="0.2">
      <c r="L5" s="1" t="s">
        <v>5</v>
      </c>
      <c r="M5" s="1"/>
    </row>
    <row r="6" spans="1:13" x14ac:dyDescent="0.2">
      <c r="L6" s="1" t="s">
        <v>6</v>
      </c>
      <c r="M6" s="1"/>
    </row>
    <row r="7" spans="1:13" x14ac:dyDescent="0.2">
      <c r="L7" s="1" t="s">
        <v>25</v>
      </c>
      <c r="M7" s="1"/>
    </row>
    <row r="8" spans="1:13" x14ac:dyDescent="0.2">
      <c r="L8" s="1"/>
      <c r="M8" s="1"/>
    </row>
    <row r="9" spans="1:13" x14ac:dyDescent="0.2">
      <c r="L9" s="1"/>
      <c r="M9" s="1"/>
    </row>
    <row r="10" spans="1:13" x14ac:dyDescent="0.2">
      <c r="L10" s="1"/>
      <c r="M10" s="1"/>
    </row>
    <row r="11" spans="1:13" x14ac:dyDescent="0.2">
      <c r="L11" s="1"/>
      <c r="M11" s="1"/>
    </row>
    <row r="12" spans="1:13" x14ac:dyDescent="0.2">
      <c r="L12" s="1"/>
      <c r="M12" s="1"/>
    </row>
    <row r="13" spans="1:13" x14ac:dyDescent="0.2">
      <c r="L13" s="1"/>
      <c r="M13" s="1"/>
    </row>
    <row r="14" spans="1:13" x14ac:dyDescent="0.2">
      <c r="L14" s="1"/>
      <c r="M14" s="1"/>
    </row>
    <row r="15" spans="1:13" x14ac:dyDescent="0.2">
      <c r="L15" s="1"/>
      <c r="M15" s="1"/>
    </row>
    <row r="16" spans="1:13" x14ac:dyDescent="0.2">
      <c r="L16" s="1"/>
      <c r="M16" s="1"/>
    </row>
    <row r="17" spans="12:13" x14ac:dyDescent="0.2">
      <c r="L17" s="1"/>
      <c r="M17" s="1"/>
    </row>
    <row r="18" spans="12:13" x14ac:dyDescent="0.2">
      <c r="L18" s="1"/>
      <c r="M18" s="1"/>
    </row>
    <row r="19" spans="12:13" x14ac:dyDescent="0.2">
      <c r="L19" s="1"/>
      <c r="M19" s="1"/>
    </row>
    <row r="20" spans="12:13" x14ac:dyDescent="0.2">
      <c r="L20" s="1"/>
      <c r="M20" s="1"/>
    </row>
    <row r="21" spans="12:13" x14ac:dyDescent="0.2">
      <c r="L21" s="1"/>
      <c r="M21" s="1"/>
    </row>
    <row r="22" spans="12:13" x14ac:dyDescent="0.2">
      <c r="L22" s="1"/>
      <c r="M22" s="1"/>
    </row>
    <row r="23" spans="12:13" x14ac:dyDescent="0.2">
      <c r="L23" s="1"/>
      <c r="M23" s="1"/>
    </row>
    <row r="24" spans="12:13" x14ac:dyDescent="0.2">
      <c r="L24" s="1"/>
      <c r="M24" s="1"/>
    </row>
    <row r="25" spans="12:13" x14ac:dyDescent="0.2">
      <c r="L25" s="1"/>
      <c r="M25" s="1"/>
    </row>
    <row r="26" spans="12:13" x14ac:dyDescent="0.2">
      <c r="L26" s="1"/>
      <c r="M26" s="1"/>
    </row>
    <row r="27" spans="12:13" x14ac:dyDescent="0.2">
      <c r="L27" s="1"/>
      <c r="M27" s="1"/>
    </row>
    <row r="28" spans="12:13" x14ac:dyDescent="0.2">
      <c r="L28" s="1"/>
      <c r="M28" s="1"/>
    </row>
    <row r="29" spans="12:13" x14ac:dyDescent="0.2">
      <c r="L29" s="1"/>
      <c r="M29" s="1"/>
    </row>
    <row r="30" spans="12:13" x14ac:dyDescent="0.2">
      <c r="L30" s="1"/>
      <c r="M30" s="1"/>
    </row>
    <row r="31" spans="12:13" x14ac:dyDescent="0.2">
      <c r="L31" s="1"/>
      <c r="M31" s="1"/>
    </row>
    <row r="32" spans="12:13" x14ac:dyDescent="0.2">
      <c r="L32" s="1"/>
      <c r="M32" s="1"/>
    </row>
  </sheetData>
  <mergeCells count="1">
    <mergeCell ref="A1:J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4F4D-2842-4E1A-A4AD-B43419D03214}">
  <dimension ref="A1:C8"/>
  <sheetViews>
    <sheetView workbookViewId="0">
      <selection activeCell="B12" sqref="B12"/>
    </sheetView>
  </sheetViews>
  <sheetFormatPr defaultRowHeight="15" x14ac:dyDescent="0.2"/>
  <cols>
    <col min="1" max="1" width="32.88671875" customWidth="1"/>
    <col min="2" max="2" width="18.44140625" bestFit="1" customWidth="1"/>
    <col min="3" max="3" width="19.5546875" bestFit="1" customWidth="1"/>
  </cols>
  <sheetData>
    <row r="1" spans="1:3" ht="15.75" x14ac:dyDescent="0.25">
      <c r="A1" s="3"/>
      <c r="B1" s="5" t="s">
        <v>0</v>
      </c>
      <c r="C1" s="5" t="s">
        <v>1</v>
      </c>
    </row>
    <row r="2" spans="1:3" x14ac:dyDescent="0.2">
      <c r="A2" s="1" t="s">
        <v>55</v>
      </c>
      <c r="B2" s="1">
        <v>1.65</v>
      </c>
      <c r="C2" s="1"/>
    </row>
    <row r="3" spans="1:3" x14ac:dyDescent="0.2">
      <c r="A3" s="1" t="s">
        <v>57</v>
      </c>
      <c r="B3" s="1"/>
      <c r="C3" s="1">
        <v>0.25</v>
      </c>
    </row>
    <row r="4" spans="1:3" x14ac:dyDescent="0.2">
      <c r="A4" s="1" t="s">
        <v>56</v>
      </c>
      <c r="B4" s="1"/>
      <c r="C4" s="1">
        <v>0.35</v>
      </c>
    </row>
    <row r="5" spans="1:3" x14ac:dyDescent="0.2">
      <c r="A5" s="1" t="s">
        <v>59</v>
      </c>
      <c r="B5" s="1"/>
      <c r="C5" s="1">
        <f>(C3+C4)/2</f>
        <v>0.3</v>
      </c>
    </row>
    <row r="6" spans="1:3" x14ac:dyDescent="0.2">
      <c r="A6" s="1" t="s">
        <v>58</v>
      </c>
      <c r="B6" s="1">
        <v>0.3</v>
      </c>
      <c r="C6" s="1">
        <v>1.1000000000000001</v>
      </c>
    </row>
    <row r="7" spans="1:3" x14ac:dyDescent="0.2">
      <c r="A7" s="3"/>
      <c r="B7" s="3"/>
      <c r="C7" s="3"/>
    </row>
    <row r="8" spans="1:3" x14ac:dyDescent="0.2">
      <c r="A8" s="1" t="s">
        <v>60</v>
      </c>
      <c r="B8" s="7">
        <f>B6*B2</f>
        <v>0.49499999999999994</v>
      </c>
      <c r="C8" s="7">
        <f>C6*C5</f>
        <v>0.33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8D0-50AD-4D8D-AB6E-0D30CE63484F}">
  <dimension ref="A1:C5"/>
  <sheetViews>
    <sheetView workbookViewId="0">
      <selection activeCell="C10" sqref="C10"/>
    </sheetView>
  </sheetViews>
  <sheetFormatPr defaultRowHeight="15" x14ac:dyDescent="0.2"/>
  <cols>
    <col min="1" max="1" width="19.77734375" customWidth="1"/>
    <col min="2" max="2" width="18.44140625" bestFit="1" customWidth="1"/>
    <col min="3" max="3" width="19.5546875" bestFit="1" customWidth="1"/>
  </cols>
  <sheetData>
    <row r="1" spans="1:3" ht="15.75" x14ac:dyDescent="0.25">
      <c r="A1" s="3"/>
      <c r="B1" s="5" t="s">
        <v>0</v>
      </c>
      <c r="C1" s="5" t="s">
        <v>1</v>
      </c>
    </row>
    <row r="2" spans="1:3" x14ac:dyDescent="0.2">
      <c r="A2" s="1" t="s">
        <v>79</v>
      </c>
      <c r="B2" s="7">
        <v>4200</v>
      </c>
      <c r="C2" s="7">
        <v>7600</v>
      </c>
    </row>
    <row r="3" spans="1:3" x14ac:dyDescent="0.2">
      <c r="A3" s="1" t="s">
        <v>80</v>
      </c>
      <c r="B3" s="1">
        <f>'III. Days and KMs'!B5</f>
        <v>100800</v>
      </c>
      <c r="C3" s="1">
        <f>'III. Days and KMs'!B5</f>
        <v>100800</v>
      </c>
    </row>
    <row r="4" spans="1:3" x14ac:dyDescent="0.2">
      <c r="A4" s="3"/>
      <c r="B4" s="3"/>
      <c r="C4" s="3"/>
    </row>
    <row r="5" spans="1:3" x14ac:dyDescent="0.2">
      <c r="A5" s="1" t="s">
        <v>78</v>
      </c>
      <c r="B5" s="7">
        <f>B2/B3</f>
        <v>4.1666666666666664E-2</v>
      </c>
      <c r="C5" s="7">
        <f>C2/C3</f>
        <v>7.5396825396825393E-2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60D3-B899-4D08-A7A0-09A1A6A556D2}">
  <dimension ref="A1:D11"/>
  <sheetViews>
    <sheetView tabSelected="1" workbookViewId="0">
      <selection activeCell="A15" sqref="A15"/>
    </sheetView>
  </sheetViews>
  <sheetFormatPr defaultRowHeight="15" x14ac:dyDescent="0.2"/>
  <cols>
    <col min="1" max="1" width="27.6640625" customWidth="1"/>
    <col min="2" max="2" width="18.44140625" bestFit="1" customWidth="1"/>
    <col min="3" max="3" width="19.5546875" bestFit="1" customWidth="1"/>
  </cols>
  <sheetData>
    <row r="1" spans="1:4" ht="15.75" x14ac:dyDescent="0.25">
      <c r="A1" s="5" t="s">
        <v>53</v>
      </c>
      <c r="B1" s="5" t="s">
        <v>0</v>
      </c>
      <c r="C1" s="5" t="s">
        <v>1</v>
      </c>
      <c r="D1" s="5" t="s">
        <v>52</v>
      </c>
    </row>
    <row r="2" spans="1:4" x14ac:dyDescent="0.2">
      <c r="A2" s="10" t="s">
        <v>71</v>
      </c>
      <c r="B2" s="16">
        <f>'IV. Fiscal'!B2/'III. Days and KMs'!E7</f>
        <v>0</v>
      </c>
      <c r="C2" s="16">
        <f>'IV. Fiscal'!C3/'III. Days and KMs'!E8</f>
        <v>-0.11408730158730158</v>
      </c>
      <c r="D2" s="10"/>
    </row>
    <row r="3" spans="1:4" x14ac:dyDescent="0.2">
      <c r="A3" s="1" t="s">
        <v>48</v>
      </c>
      <c r="B3" s="8">
        <f>'I. Investment TT'!F14/'III. Days and KMs'!E7</f>
        <v>0.15943877551020405</v>
      </c>
      <c r="C3" s="8">
        <f>'I. Investment TT'!H14/'III. Days and KMs'!E8</f>
        <v>0.29464285714285715</v>
      </c>
      <c r="D3" s="1" t="s">
        <v>5</v>
      </c>
    </row>
    <row r="4" spans="1:4" x14ac:dyDescent="0.2">
      <c r="A4" s="1" t="s">
        <v>54</v>
      </c>
      <c r="B4" s="8">
        <v>0</v>
      </c>
      <c r="C4" s="8">
        <f>'I. Investement Infra'!E18/'III. Days and KMs'!E8</f>
        <v>1.8849206349206348E-2</v>
      </c>
      <c r="D4" s="1"/>
    </row>
    <row r="5" spans="1:4" x14ac:dyDescent="0.2">
      <c r="A5" s="1" t="s">
        <v>63</v>
      </c>
      <c r="B5" s="8">
        <f>'II. Repayment bank loan'!B18/'III. Days and KMs'!E7</f>
        <v>0.17715419501133786</v>
      </c>
      <c r="C5" s="8">
        <f>('II. Repayment bank loan'!H18+'II. Repayment bank loan'!L18)/'III. Days and KMs'!E8</f>
        <v>9.4940476190476186E-2</v>
      </c>
      <c r="D5" s="1" t="s">
        <v>5</v>
      </c>
    </row>
    <row r="6" spans="1:4" x14ac:dyDescent="0.2">
      <c r="A6" s="1" t="s">
        <v>49</v>
      </c>
      <c r="B6" s="8">
        <f>'III. Maintenance'!B8/'III. Days and KMs'!E7</f>
        <v>7.1428571428571425E-2</v>
      </c>
      <c r="C6" s="8">
        <f>'III. Maintenance'!C8/'III. Days and KMs'!E8</f>
        <v>0.11666666666666667</v>
      </c>
      <c r="D6" s="1"/>
    </row>
    <row r="7" spans="1:4" x14ac:dyDescent="0.2">
      <c r="A7" s="1" t="s">
        <v>81</v>
      </c>
      <c r="B7" s="7">
        <f>'III. Insurrance'!B5</f>
        <v>4.1666666666666664E-2</v>
      </c>
      <c r="C7" s="7">
        <f>'III. Insurrance'!C5</f>
        <v>7.5396825396825393E-2</v>
      </c>
      <c r="D7" s="1"/>
    </row>
    <row r="8" spans="1:4" x14ac:dyDescent="0.2">
      <c r="A8" s="1" t="s">
        <v>50</v>
      </c>
      <c r="B8" s="7">
        <f>'IV. Road tax'!B2</f>
        <v>0.17</v>
      </c>
      <c r="C8" s="7">
        <f>'IV. Road tax'!C2</f>
        <v>0.04</v>
      </c>
      <c r="D8" s="1"/>
    </row>
    <row r="9" spans="1:4" x14ac:dyDescent="0.2">
      <c r="A9" s="1" t="s">
        <v>51</v>
      </c>
      <c r="B9" s="7">
        <f>'III. Fuel costs'!B8</f>
        <v>0.49499999999999994</v>
      </c>
      <c r="C9" s="7">
        <f>'III. Fuel costs'!C6</f>
        <v>1.1000000000000001</v>
      </c>
      <c r="D9" s="1"/>
    </row>
    <row r="10" spans="1:4" x14ac:dyDescent="0.2">
      <c r="A10" s="3"/>
      <c r="B10" s="3"/>
      <c r="C10" s="3"/>
      <c r="D10" s="3"/>
    </row>
    <row r="11" spans="1:4" x14ac:dyDescent="0.2">
      <c r="A11" s="1" t="s">
        <v>61</v>
      </c>
      <c r="B11" s="8">
        <f>SUM(B2:B9)</f>
        <v>1.11468820861678</v>
      </c>
      <c r="C11" s="8">
        <f>SUM(C2:C9)</f>
        <v>1.6264087301587302</v>
      </c>
      <c r="D1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2FBE-2E96-4DCD-9578-9B1F2B6898EA}">
  <dimension ref="A1:C3"/>
  <sheetViews>
    <sheetView workbookViewId="0">
      <selection activeCell="B3" sqref="B3"/>
    </sheetView>
  </sheetViews>
  <sheetFormatPr defaultRowHeight="15" x14ac:dyDescent="0.2"/>
  <cols>
    <col min="1" max="1" width="20.6640625" customWidth="1"/>
    <col min="2" max="2" width="18.44140625" bestFit="1" customWidth="1"/>
    <col min="3" max="3" width="19.5546875" bestFit="1" customWidth="1"/>
  </cols>
  <sheetData>
    <row r="1" spans="1:3" ht="15.75" x14ac:dyDescent="0.25">
      <c r="A1" s="3"/>
      <c r="B1" s="5" t="s">
        <v>0</v>
      </c>
      <c r="C1" s="5" t="s">
        <v>1</v>
      </c>
    </row>
    <row r="2" spans="1:3" x14ac:dyDescent="0.2">
      <c r="A2" s="1" t="s">
        <v>69</v>
      </c>
      <c r="B2" s="7">
        <v>0</v>
      </c>
      <c r="C2" s="1"/>
    </row>
    <row r="3" spans="1:3" x14ac:dyDescent="0.2">
      <c r="A3" s="1" t="s">
        <v>70</v>
      </c>
      <c r="B3" s="1"/>
      <c r="C3" s="7">
        <v>-115000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9D7A-62B5-4C41-A9B5-517BFD78B621}">
  <dimension ref="A2:E8"/>
  <sheetViews>
    <sheetView workbookViewId="0">
      <selection activeCell="B5" sqref="B5"/>
    </sheetView>
  </sheetViews>
  <sheetFormatPr defaultRowHeight="15" x14ac:dyDescent="0.2"/>
  <cols>
    <col min="1" max="1" width="26.21875" customWidth="1"/>
  </cols>
  <sheetData>
    <row r="2" spans="1:5" x14ac:dyDescent="0.2">
      <c r="A2" s="1" t="s">
        <v>32</v>
      </c>
      <c r="B2" s="1">
        <v>280</v>
      </c>
      <c r="C2" s="2">
        <f>B2/365</f>
        <v>0.76712328767123283</v>
      </c>
    </row>
    <row r="3" spans="1:5" x14ac:dyDescent="0.2">
      <c r="A3" s="1" t="s">
        <v>33</v>
      </c>
      <c r="B3" s="1">
        <v>600</v>
      </c>
    </row>
    <row r="4" spans="1:5" x14ac:dyDescent="0.2">
      <c r="A4" s="3"/>
      <c r="B4" s="3"/>
    </row>
    <row r="5" spans="1:5" x14ac:dyDescent="0.2">
      <c r="A5" s="1" t="s">
        <v>34</v>
      </c>
      <c r="B5" s="1">
        <f>B2*360</f>
        <v>100800</v>
      </c>
    </row>
    <row r="7" spans="1:5" x14ac:dyDescent="0.2">
      <c r="A7" s="1" t="s">
        <v>35</v>
      </c>
      <c r="B7" s="1" t="s">
        <v>36</v>
      </c>
      <c r="C7" s="1">
        <f>'I. Investment TT'!$B$5</f>
        <v>7</v>
      </c>
      <c r="D7" s="21" t="s">
        <v>38</v>
      </c>
      <c r="E7" s="1">
        <f>C7*B5</f>
        <v>705600</v>
      </c>
    </row>
    <row r="8" spans="1:5" x14ac:dyDescent="0.2">
      <c r="A8" s="1" t="str">
        <f>A7</f>
        <v>Total KMs of economic life</v>
      </c>
      <c r="B8" s="1" t="s">
        <v>37</v>
      </c>
      <c r="C8" s="1">
        <f>'I. Investment TT'!$C$5</f>
        <v>10</v>
      </c>
      <c r="D8" s="21" t="s">
        <v>38</v>
      </c>
      <c r="E8" s="1">
        <f>C8*B5</f>
        <v>1008000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3DDE-F0EE-4631-A4BD-5B20B0BB9529}">
  <dimension ref="A1:F25"/>
  <sheetViews>
    <sheetView workbookViewId="0">
      <selection activeCell="E29" sqref="E29"/>
    </sheetView>
  </sheetViews>
  <sheetFormatPr defaultRowHeight="15" x14ac:dyDescent="0.2"/>
  <cols>
    <col min="1" max="1" width="17.77734375" customWidth="1"/>
    <col min="2" max="2" width="13.88671875" customWidth="1"/>
    <col min="5" max="5" width="21.33203125" customWidth="1"/>
    <col min="6" max="6" width="20.21875" customWidth="1"/>
  </cols>
  <sheetData>
    <row r="1" spans="1:6" ht="15.75" x14ac:dyDescent="0.25">
      <c r="A1" s="3"/>
      <c r="B1" s="5" t="s">
        <v>26</v>
      </c>
      <c r="D1" s="5" t="s">
        <v>5</v>
      </c>
      <c r="E1" s="5" t="s">
        <v>28</v>
      </c>
      <c r="F1" s="5" t="s">
        <v>27</v>
      </c>
    </row>
    <row r="2" spans="1:6" x14ac:dyDescent="0.2">
      <c r="A2" s="1" t="s">
        <v>2</v>
      </c>
      <c r="B2" s="1">
        <v>20000</v>
      </c>
      <c r="D2" s="1">
        <v>1</v>
      </c>
      <c r="E2" s="7">
        <f>B6*B4</f>
        <v>1266.6666666666667</v>
      </c>
      <c r="F2" s="7">
        <f>B2</f>
        <v>20000</v>
      </c>
    </row>
    <row r="3" spans="1:6" x14ac:dyDescent="0.2">
      <c r="A3" s="1" t="s">
        <v>3</v>
      </c>
      <c r="B3" s="1">
        <v>1000</v>
      </c>
      <c r="D3" s="1">
        <v>2</v>
      </c>
      <c r="E3" s="7">
        <f t="shared" ref="E3:E16" si="0">$B$6*$B$4</f>
        <v>1266.6666666666667</v>
      </c>
      <c r="F3" s="8">
        <f>F2-E2</f>
        <v>18733.333333333332</v>
      </c>
    </row>
    <row r="4" spans="1:6" x14ac:dyDescent="0.2">
      <c r="A4" s="1" t="s">
        <v>20</v>
      </c>
      <c r="B4" s="1">
        <f>B2-B3</f>
        <v>19000</v>
      </c>
      <c r="D4" s="1">
        <v>3</v>
      </c>
      <c r="E4" s="7">
        <f t="shared" si="0"/>
        <v>1266.6666666666667</v>
      </c>
      <c r="F4" s="8">
        <f t="shared" ref="F4:F17" si="1">F3-E3</f>
        <v>17466.666666666664</v>
      </c>
    </row>
    <row r="5" spans="1:6" x14ac:dyDescent="0.2">
      <c r="A5" s="1" t="s">
        <v>4</v>
      </c>
      <c r="B5" s="1">
        <v>15</v>
      </c>
      <c r="D5" s="1">
        <v>4</v>
      </c>
      <c r="E5" s="7">
        <f t="shared" si="0"/>
        <v>1266.6666666666667</v>
      </c>
      <c r="F5" s="8">
        <f t="shared" si="1"/>
        <v>16199.999999999998</v>
      </c>
    </row>
    <row r="6" spans="1:6" x14ac:dyDescent="0.2">
      <c r="A6" s="1" t="s">
        <v>7</v>
      </c>
      <c r="B6" s="2">
        <f>1/B5</f>
        <v>6.6666666666666666E-2</v>
      </c>
      <c r="D6" s="1">
        <v>5</v>
      </c>
      <c r="E6" s="7">
        <f t="shared" si="0"/>
        <v>1266.6666666666667</v>
      </c>
      <c r="F6" s="8">
        <f t="shared" si="1"/>
        <v>14933.333333333332</v>
      </c>
    </row>
    <row r="7" spans="1:6" x14ac:dyDescent="0.2">
      <c r="A7" s="10"/>
      <c r="B7" s="14"/>
      <c r="D7" s="1">
        <v>6</v>
      </c>
      <c r="E7" s="7">
        <f t="shared" si="0"/>
        <v>1266.6666666666667</v>
      </c>
      <c r="F7" s="8">
        <f t="shared" si="1"/>
        <v>13666.666666666666</v>
      </c>
    </row>
    <row r="8" spans="1:6" x14ac:dyDescent="0.2">
      <c r="A8" s="10"/>
      <c r="B8" s="15"/>
      <c r="D8" s="1">
        <v>7</v>
      </c>
      <c r="E8" s="7">
        <f t="shared" si="0"/>
        <v>1266.6666666666667</v>
      </c>
      <c r="F8" s="8">
        <f t="shared" si="1"/>
        <v>12400</v>
      </c>
    </row>
    <row r="9" spans="1:6" x14ac:dyDescent="0.2">
      <c r="A9" s="10"/>
      <c r="B9" s="15"/>
      <c r="D9" s="10">
        <v>8</v>
      </c>
      <c r="E9" s="7">
        <f t="shared" si="0"/>
        <v>1266.6666666666667</v>
      </c>
      <c r="F9" s="16">
        <f t="shared" si="1"/>
        <v>11133.333333333334</v>
      </c>
    </row>
    <row r="10" spans="1:6" x14ac:dyDescent="0.2">
      <c r="A10" s="10"/>
      <c r="B10" s="15"/>
      <c r="D10" s="1">
        <v>9</v>
      </c>
      <c r="E10" s="7">
        <f t="shared" si="0"/>
        <v>1266.6666666666667</v>
      </c>
      <c r="F10" s="16">
        <f t="shared" si="1"/>
        <v>9866.6666666666679</v>
      </c>
    </row>
    <row r="11" spans="1:6" x14ac:dyDescent="0.2">
      <c r="A11" s="10"/>
      <c r="B11" s="15"/>
      <c r="D11" s="1">
        <v>10</v>
      </c>
      <c r="E11" s="7">
        <f t="shared" si="0"/>
        <v>1266.6666666666667</v>
      </c>
      <c r="F11" s="16">
        <f t="shared" si="1"/>
        <v>8600.0000000000018</v>
      </c>
    </row>
    <row r="12" spans="1:6" x14ac:dyDescent="0.2">
      <c r="A12" s="10"/>
      <c r="B12" s="15"/>
      <c r="D12" s="10">
        <v>11</v>
      </c>
      <c r="E12" s="7">
        <f t="shared" si="0"/>
        <v>1266.6666666666667</v>
      </c>
      <c r="F12" s="16">
        <f t="shared" si="1"/>
        <v>7333.3333333333348</v>
      </c>
    </row>
    <row r="13" spans="1:6" x14ac:dyDescent="0.2">
      <c r="A13" s="10"/>
      <c r="B13" s="15"/>
      <c r="D13" s="1">
        <v>12</v>
      </c>
      <c r="E13" s="7">
        <f t="shared" si="0"/>
        <v>1266.6666666666667</v>
      </c>
      <c r="F13" s="16">
        <f t="shared" si="1"/>
        <v>6066.6666666666679</v>
      </c>
    </row>
    <row r="14" spans="1:6" x14ac:dyDescent="0.2">
      <c r="A14" s="10"/>
      <c r="B14" s="15"/>
      <c r="D14" s="1">
        <v>13</v>
      </c>
      <c r="E14" s="7">
        <f t="shared" si="0"/>
        <v>1266.6666666666667</v>
      </c>
      <c r="F14" s="16">
        <f t="shared" si="1"/>
        <v>4800.0000000000009</v>
      </c>
    </row>
    <row r="15" spans="1:6" x14ac:dyDescent="0.2">
      <c r="A15" s="10"/>
      <c r="B15" s="15"/>
      <c r="D15" s="1">
        <v>14</v>
      </c>
      <c r="E15" s="7">
        <f t="shared" si="0"/>
        <v>1266.6666666666667</v>
      </c>
      <c r="F15" s="16">
        <f t="shared" si="1"/>
        <v>3533.3333333333339</v>
      </c>
    </row>
    <row r="16" spans="1:6" x14ac:dyDescent="0.2">
      <c r="A16" s="10"/>
      <c r="B16" s="15"/>
      <c r="D16" s="1">
        <v>15</v>
      </c>
      <c r="E16" s="7">
        <f t="shared" si="0"/>
        <v>1266.6666666666667</v>
      </c>
      <c r="F16" s="16">
        <f t="shared" si="1"/>
        <v>2266.666666666667</v>
      </c>
    </row>
    <row r="17" spans="1:6" x14ac:dyDescent="0.2">
      <c r="A17" s="10"/>
      <c r="B17" s="15"/>
      <c r="D17" s="3"/>
      <c r="E17" s="3"/>
      <c r="F17" s="16">
        <f t="shared" si="1"/>
        <v>1000.0000000000002</v>
      </c>
    </row>
    <row r="18" spans="1:6" x14ac:dyDescent="0.2">
      <c r="A18" s="10"/>
      <c r="B18" s="15"/>
      <c r="D18" s="1"/>
      <c r="E18" s="17">
        <f>SUM(E2:E16)</f>
        <v>19000</v>
      </c>
      <c r="F18" s="3"/>
    </row>
    <row r="19" spans="1:6" x14ac:dyDescent="0.2">
      <c r="A19" s="10"/>
      <c r="B19" s="15"/>
    </row>
    <row r="20" spans="1:6" x14ac:dyDescent="0.2">
      <c r="A20" s="10"/>
      <c r="B20" s="15"/>
    </row>
    <row r="21" spans="1:6" x14ac:dyDescent="0.2">
      <c r="A21" s="10"/>
      <c r="B21" s="15"/>
    </row>
    <row r="22" spans="1:6" x14ac:dyDescent="0.2">
      <c r="A22" s="10"/>
      <c r="B22" s="15"/>
    </row>
    <row r="23" spans="1:6" x14ac:dyDescent="0.2">
      <c r="A23" s="10"/>
      <c r="B23" s="10"/>
    </row>
    <row r="24" spans="1:6" x14ac:dyDescent="0.2">
      <c r="A24" s="10"/>
      <c r="B24" s="15"/>
    </row>
    <row r="25" spans="1:6" x14ac:dyDescent="0.2">
      <c r="A25" s="1"/>
      <c r="B25" s="1"/>
    </row>
  </sheetData>
  <phoneticPr fontId="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F89-9A8D-4A76-9AF2-6F2B59479705}">
  <dimension ref="A1:I60"/>
  <sheetViews>
    <sheetView topLeftCell="A15" workbookViewId="0">
      <selection activeCell="B5" sqref="B5"/>
    </sheetView>
  </sheetViews>
  <sheetFormatPr defaultRowHeight="15" x14ac:dyDescent="0.2"/>
  <cols>
    <col min="1" max="1" width="14.88671875" bestFit="1" customWidth="1"/>
    <col min="2" max="2" width="18.44140625" customWidth="1"/>
    <col min="3" max="3" width="19.6640625" customWidth="1"/>
    <col min="5" max="5" width="4.6640625" bestFit="1" customWidth="1"/>
    <col min="6" max="6" width="18.33203125" bestFit="1" customWidth="1"/>
    <col min="7" max="8" width="15.88671875" customWidth="1"/>
    <col min="9" max="9" width="15.21875" bestFit="1" customWidth="1"/>
  </cols>
  <sheetData>
    <row r="1" spans="1:9" ht="15.75" x14ac:dyDescent="0.25">
      <c r="A1" s="3"/>
      <c r="B1" s="5" t="s">
        <v>0</v>
      </c>
      <c r="C1" s="5" t="s">
        <v>1</v>
      </c>
    </row>
    <row r="2" spans="1:9" ht="15.75" x14ac:dyDescent="0.25">
      <c r="A2" s="1" t="s">
        <v>2</v>
      </c>
      <c r="B2" s="1">
        <v>125000</v>
      </c>
      <c r="C2" s="1">
        <v>330000</v>
      </c>
      <c r="E2" s="5" t="s">
        <v>5</v>
      </c>
      <c r="F2" s="5" t="s">
        <v>21</v>
      </c>
      <c r="G2" s="5" t="s">
        <v>23</v>
      </c>
      <c r="H2" s="5" t="s">
        <v>22</v>
      </c>
      <c r="I2" s="5" t="s">
        <v>24</v>
      </c>
    </row>
    <row r="3" spans="1:9" x14ac:dyDescent="0.2">
      <c r="A3" s="1" t="s">
        <v>3</v>
      </c>
      <c r="B3" s="1">
        <v>12500</v>
      </c>
      <c r="C3" s="1">
        <v>33000</v>
      </c>
      <c r="E3" s="1">
        <v>1</v>
      </c>
      <c r="F3" s="7">
        <f>$B$6*$B$4</f>
        <v>16071.428571428571</v>
      </c>
      <c r="G3" s="7">
        <f>B2</f>
        <v>125000</v>
      </c>
      <c r="H3" s="7">
        <f>$C$4*$C$6</f>
        <v>29700</v>
      </c>
      <c r="I3" s="8">
        <f>C2</f>
        <v>330000</v>
      </c>
    </row>
    <row r="4" spans="1:9" x14ac:dyDescent="0.2">
      <c r="A4" s="1" t="s">
        <v>20</v>
      </c>
      <c r="B4" s="1">
        <f>B2-B3</f>
        <v>112500</v>
      </c>
      <c r="C4" s="1">
        <f>C2-C3</f>
        <v>297000</v>
      </c>
      <c r="E4" s="1">
        <v>2</v>
      </c>
      <c r="F4" s="7">
        <f t="shared" ref="F4:F9" si="0">$B$6*$B$4</f>
        <v>16071.428571428571</v>
      </c>
      <c r="G4" s="8">
        <f>G3-F3</f>
        <v>108928.57142857143</v>
      </c>
      <c r="H4" s="7">
        <f t="shared" ref="H4:H12" si="1">$C$4*$C$6</f>
        <v>29700</v>
      </c>
      <c r="I4" s="8">
        <f t="shared" ref="I4:I13" si="2">I3-H3</f>
        <v>300300</v>
      </c>
    </row>
    <row r="5" spans="1:9" x14ac:dyDescent="0.2">
      <c r="A5" s="1" t="s">
        <v>4</v>
      </c>
      <c r="B5" s="1">
        <v>7</v>
      </c>
      <c r="C5" s="1">
        <v>10</v>
      </c>
      <c r="E5" s="1">
        <v>3</v>
      </c>
      <c r="F5" s="7">
        <f t="shared" si="0"/>
        <v>16071.428571428571</v>
      </c>
      <c r="G5" s="8">
        <f t="shared" ref="G5:G10" si="3">G4-F4</f>
        <v>92857.14285714287</v>
      </c>
      <c r="H5" s="7">
        <f t="shared" si="1"/>
        <v>29700</v>
      </c>
      <c r="I5" s="8">
        <f t="shared" si="2"/>
        <v>270600</v>
      </c>
    </row>
    <row r="6" spans="1:9" x14ac:dyDescent="0.2">
      <c r="A6" s="1" t="s">
        <v>7</v>
      </c>
      <c r="B6" s="2">
        <f>1/B5</f>
        <v>0.14285714285714285</v>
      </c>
      <c r="C6" s="2">
        <f>1/C5</f>
        <v>0.1</v>
      </c>
      <c r="E6" s="1">
        <v>4</v>
      </c>
      <c r="F6" s="7">
        <f t="shared" si="0"/>
        <v>16071.428571428571</v>
      </c>
      <c r="G6" s="8">
        <f t="shared" si="3"/>
        <v>76785.714285714304</v>
      </c>
      <c r="H6" s="7">
        <f t="shared" si="1"/>
        <v>29700</v>
      </c>
      <c r="I6" s="8">
        <f t="shared" si="2"/>
        <v>240900</v>
      </c>
    </row>
    <row r="7" spans="1:9" x14ac:dyDescent="0.2">
      <c r="A7" s="1" t="s">
        <v>8</v>
      </c>
      <c r="B7" s="2">
        <f>(1-((B3/B2)^(1/B5)))</f>
        <v>0.28031432699884795</v>
      </c>
      <c r="C7" s="2">
        <f>(1-((C3/C2)^(1/C5)))</f>
        <v>0.20567176527571851</v>
      </c>
      <c r="E7" s="1">
        <v>5</v>
      </c>
      <c r="F7" s="7">
        <f t="shared" si="0"/>
        <v>16071.428571428571</v>
      </c>
      <c r="G7" s="8">
        <f t="shared" si="3"/>
        <v>60714.285714285732</v>
      </c>
      <c r="H7" s="7">
        <f t="shared" si="1"/>
        <v>29700</v>
      </c>
      <c r="I7" s="8">
        <f t="shared" si="2"/>
        <v>211200</v>
      </c>
    </row>
    <row r="8" spans="1:9" x14ac:dyDescent="0.2">
      <c r="A8" s="1" t="s">
        <v>9</v>
      </c>
      <c r="B8" s="4">
        <f>SYD($B$2,$B$3,$B$5,1)</f>
        <v>28125</v>
      </c>
      <c r="C8" s="4">
        <f>SYD($C$2,$C$3,$C$5,1)</f>
        <v>54000</v>
      </c>
      <c r="E8" s="1">
        <v>6</v>
      </c>
      <c r="F8" s="7">
        <f t="shared" si="0"/>
        <v>16071.428571428571</v>
      </c>
      <c r="G8" s="8">
        <f t="shared" si="3"/>
        <v>44642.857142857159</v>
      </c>
      <c r="H8" s="7">
        <f t="shared" si="1"/>
        <v>29700</v>
      </c>
      <c r="I8" s="8">
        <f t="shared" si="2"/>
        <v>181500</v>
      </c>
    </row>
    <row r="9" spans="1:9" x14ac:dyDescent="0.2">
      <c r="A9" s="1" t="s">
        <v>10</v>
      </c>
      <c r="B9" s="4">
        <f>SYD($B$2,$B$3,$B$5,2)</f>
        <v>24107.142857142859</v>
      </c>
      <c r="C9" s="4">
        <f>SYD($C$2,$C$3,$C$5,2)</f>
        <v>48600</v>
      </c>
      <c r="E9" s="1">
        <v>7</v>
      </c>
      <c r="F9" s="7">
        <f t="shared" si="0"/>
        <v>16071.428571428571</v>
      </c>
      <c r="G9" s="8">
        <f t="shared" si="3"/>
        <v>28571.428571428587</v>
      </c>
      <c r="H9" s="7">
        <f t="shared" si="1"/>
        <v>29700</v>
      </c>
      <c r="I9" s="8">
        <f t="shared" si="2"/>
        <v>151800</v>
      </c>
    </row>
    <row r="10" spans="1:9" x14ac:dyDescent="0.2">
      <c r="A10" s="1" t="s">
        <v>11</v>
      </c>
      <c r="B10" s="4">
        <f>SYD($B$2,$B$3,$B$5,3)</f>
        <v>20089.285714285714</v>
      </c>
      <c r="C10" s="4">
        <f>SYD($C$2,$C$3,$C$5,3)</f>
        <v>43200</v>
      </c>
      <c r="E10" s="10">
        <v>8</v>
      </c>
      <c r="F10" s="3"/>
      <c r="G10" s="8">
        <f t="shared" si="3"/>
        <v>12500.000000000016</v>
      </c>
      <c r="H10" s="7">
        <f t="shared" si="1"/>
        <v>29700</v>
      </c>
      <c r="I10" s="8">
        <f t="shared" si="2"/>
        <v>122100</v>
      </c>
    </row>
    <row r="11" spans="1:9" x14ac:dyDescent="0.2">
      <c r="A11" s="1" t="s">
        <v>12</v>
      </c>
      <c r="B11" s="4">
        <f>SYD($B$2,$B$3,$B$5,4)</f>
        <v>16071.428571428571</v>
      </c>
      <c r="C11" s="4">
        <f>SYD($C$2,$C$3,$C$5,4)</f>
        <v>37800</v>
      </c>
      <c r="E11" s="1">
        <v>9</v>
      </c>
      <c r="F11" s="9"/>
      <c r="G11" s="3"/>
      <c r="H11" s="7">
        <f t="shared" si="1"/>
        <v>29700</v>
      </c>
      <c r="I11" s="8">
        <f t="shared" si="2"/>
        <v>92400</v>
      </c>
    </row>
    <row r="12" spans="1:9" x14ac:dyDescent="0.2">
      <c r="A12" s="1" t="s">
        <v>13</v>
      </c>
      <c r="B12" s="4">
        <f>SYD($B$2,$B$3,$B$5,5)</f>
        <v>12053.571428571429</v>
      </c>
      <c r="C12" s="4">
        <f>SYD($C$2,$C$3,$C$5,5)</f>
        <v>32400</v>
      </c>
      <c r="E12" s="1">
        <v>10</v>
      </c>
      <c r="F12" s="3"/>
      <c r="G12" s="3"/>
      <c r="H12" s="7">
        <f t="shared" si="1"/>
        <v>29700</v>
      </c>
      <c r="I12" s="8">
        <f t="shared" si="2"/>
        <v>62700</v>
      </c>
    </row>
    <row r="13" spans="1:9" x14ac:dyDescent="0.2">
      <c r="A13" s="1" t="s">
        <v>14</v>
      </c>
      <c r="B13" s="4">
        <f>SYD($B$2,$B$3,$B$5,6)</f>
        <v>8035.7142857142853</v>
      </c>
      <c r="C13" s="4">
        <f>SYD($C$2,$C$3,$C$5,6)</f>
        <v>27000</v>
      </c>
      <c r="E13" s="3"/>
      <c r="F13" s="3"/>
      <c r="G13" s="3"/>
      <c r="H13" s="3"/>
      <c r="I13" s="8">
        <f t="shared" si="2"/>
        <v>33000</v>
      </c>
    </row>
    <row r="14" spans="1:9" x14ac:dyDescent="0.2">
      <c r="A14" s="1" t="s">
        <v>15</v>
      </c>
      <c r="B14" s="4">
        <f>SYD($B$2,$B$3,$B$5,7)</f>
        <v>4017.8571428571427</v>
      </c>
      <c r="C14" s="4">
        <f>SYD($C$2,$C$3,$C$5,7)</f>
        <v>21600</v>
      </c>
      <c r="E14" s="1"/>
      <c r="F14" s="7">
        <f>SUM(F3:F9)</f>
        <v>112499.99999999999</v>
      </c>
      <c r="G14" s="3"/>
      <c r="H14" s="8">
        <f>SUM(H3:H12)</f>
        <v>297000</v>
      </c>
      <c r="I14" s="3"/>
    </row>
    <row r="15" spans="1:9" x14ac:dyDescent="0.2">
      <c r="A15" s="1" t="s">
        <v>16</v>
      </c>
      <c r="B15" s="3"/>
      <c r="C15" s="4">
        <f>SYD($C$2,$C$3,$C$5,8)</f>
        <v>16200</v>
      </c>
    </row>
    <row r="16" spans="1:9" x14ac:dyDescent="0.2">
      <c r="A16" s="1" t="s">
        <v>17</v>
      </c>
      <c r="B16" s="3"/>
      <c r="C16" s="4">
        <f>SYD($C$2,$C$3,$C$5,9)</f>
        <v>10800</v>
      </c>
    </row>
    <row r="17" spans="1:9" ht="15.75" x14ac:dyDescent="0.25">
      <c r="A17" s="1" t="s">
        <v>18</v>
      </c>
      <c r="B17" s="3"/>
      <c r="C17" s="4">
        <f>SYD($C$2,$C$3,$C$5,10)</f>
        <v>5400</v>
      </c>
      <c r="E17" s="5" t="s">
        <v>6</v>
      </c>
      <c r="F17" s="5" t="s">
        <v>21</v>
      </c>
      <c r="G17" s="5" t="s">
        <v>23</v>
      </c>
      <c r="H17" s="5" t="s">
        <v>22</v>
      </c>
      <c r="I17" s="5" t="s">
        <v>24</v>
      </c>
    </row>
    <row r="18" spans="1:9" x14ac:dyDescent="0.2">
      <c r="A18" s="3"/>
      <c r="B18" s="3"/>
      <c r="C18" s="3"/>
      <c r="E18" s="1">
        <v>1</v>
      </c>
      <c r="F18" s="7">
        <f>G18*$B$7</f>
        <v>35039.290874855993</v>
      </c>
      <c r="G18" s="7">
        <f>B2</f>
        <v>125000</v>
      </c>
      <c r="H18" s="7">
        <f>I18*$C$7</f>
        <v>67871.682540987109</v>
      </c>
      <c r="I18" s="8">
        <f>C2</f>
        <v>330000</v>
      </c>
    </row>
    <row r="19" spans="1:9" x14ac:dyDescent="0.2">
      <c r="A19" s="1" t="s">
        <v>19</v>
      </c>
      <c r="B19" s="4">
        <f>SUM(B8:B14)</f>
        <v>112500</v>
      </c>
      <c r="C19" s="4">
        <f>SUM(C8:C17)</f>
        <v>297000</v>
      </c>
      <c r="E19" s="1">
        <v>2</v>
      </c>
      <c r="F19" s="7">
        <f t="shared" ref="F19:F24" si="4">G19*$B$7</f>
        <v>25217.27563475386</v>
      </c>
      <c r="G19" s="8">
        <f>G18-F18</f>
        <v>89960.709125144</v>
      </c>
      <c r="H19" s="7">
        <f t="shared" ref="H19:H27" si="5">I19*$C$7</f>
        <v>53912.39378054913</v>
      </c>
      <c r="I19" s="8">
        <f t="shared" ref="I19:I28" si="6">I18-H18</f>
        <v>262128.31745901291</v>
      </c>
    </row>
    <row r="20" spans="1:9" x14ac:dyDescent="0.2">
      <c r="E20" s="1">
        <v>3</v>
      </c>
      <c r="F20" s="7">
        <f t="shared" si="4"/>
        <v>18148.511986453384</v>
      </c>
      <c r="G20" s="8">
        <f t="shared" ref="G20:G25" si="7">G19-F19</f>
        <v>64743.43349039014</v>
      </c>
      <c r="H20" s="7">
        <f t="shared" si="5"/>
        <v>42824.136581463921</v>
      </c>
      <c r="I20" s="8">
        <f t="shared" si="6"/>
        <v>208215.92367846379</v>
      </c>
    </row>
    <row r="21" spans="1:9" x14ac:dyDescent="0.2">
      <c r="E21" s="1">
        <v>4</v>
      </c>
      <c r="F21" s="7">
        <f t="shared" si="4"/>
        <v>13061.22406294018</v>
      </c>
      <c r="G21" s="8">
        <f t="shared" si="7"/>
        <v>46594.921503936755</v>
      </c>
      <c r="H21" s="7">
        <f t="shared" si="5"/>
        <v>34016.420814345765</v>
      </c>
      <c r="I21" s="8">
        <f t="shared" si="6"/>
        <v>165391.78709699988</v>
      </c>
    </row>
    <row r="22" spans="1:9" x14ac:dyDescent="0.2">
      <c r="E22" s="1">
        <v>5</v>
      </c>
      <c r="F22" s="7">
        <f t="shared" si="4"/>
        <v>9399.9758299559453</v>
      </c>
      <c r="G22" s="8">
        <f t="shared" si="7"/>
        <v>33533.697440996577</v>
      </c>
      <c r="H22" s="7">
        <f t="shared" si="5"/>
        <v>27020.20349709758</v>
      </c>
      <c r="I22" s="8">
        <f t="shared" si="6"/>
        <v>131375.36628265411</v>
      </c>
    </row>
    <row r="23" spans="1:9" x14ac:dyDescent="0.2">
      <c r="E23" s="1">
        <v>6</v>
      </c>
      <c r="F23" s="7">
        <f t="shared" si="4"/>
        <v>6765.0279313764067</v>
      </c>
      <c r="G23" s="8">
        <f t="shared" si="7"/>
        <v>24133.72161104063</v>
      </c>
      <c r="H23" s="7">
        <f t="shared" si="5"/>
        <v>21462.910545740378</v>
      </c>
      <c r="I23" s="8">
        <f t="shared" si="6"/>
        <v>104355.16278555653</v>
      </c>
    </row>
    <row r="24" spans="1:9" x14ac:dyDescent="0.2">
      <c r="A24">
        <f>SUM(E3:E12)</f>
        <v>55</v>
      </c>
      <c r="E24" s="1">
        <v>7</v>
      </c>
      <c r="F24" s="7">
        <f t="shared" si="4"/>
        <v>4868.6936796642203</v>
      </c>
      <c r="G24" s="8">
        <f t="shared" si="7"/>
        <v>17368.693679664222</v>
      </c>
      <c r="H24" s="7">
        <f t="shared" si="5"/>
        <v>17048.59584584312</v>
      </c>
      <c r="I24" s="8">
        <f t="shared" si="6"/>
        <v>82892.252239816153</v>
      </c>
    </row>
    <row r="25" spans="1:9" x14ac:dyDescent="0.2">
      <c r="A25" s="12"/>
      <c r="E25" s="10">
        <v>8</v>
      </c>
      <c r="F25" s="3"/>
      <c r="G25" s="8">
        <f t="shared" si="7"/>
        <v>12500.000000000002</v>
      </c>
      <c r="H25" s="7">
        <f t="shared" si="5"/>
        <v>13542.181042756285</v>
      </c>
      <c r="I25" s="8">
        <f t="shared" si="6"/>
        <v>65843.65639397304</v>
      </c>
    </row>
    <row r="26" spans="1:9" x14ac:dyDescent="0.2">
      <c r="E26" s="1">
        <v>9</v>
      </c>
      <c r="F26" s="9"/>
      <c r="G26" s="3"/>
      <c r="H26" s="7">
        <f t="shared" si="5"/>
        <v>10756.936762009229</v>
      </c>
      <c r="I26" s="8">
        <f t="shared" si="6"/>
        <v>52301.475351216752</v>
      </c>
    </row>
    <row r="27" spans="1:9" x14ac:dyDescent="0.2">
      <c r="A27" s="13"/>
      <c r="E27" s="1">
        <v>10</v>
      </c>
      <c r="F27" s="3"/>
      <c r="G27" s="3"/>
      <c r="H27" s="7">
        <f t="shared" si="5"/>
        <v>8544.5385892075192</v>
      </c>
      <c r="I27" s="8">
        <f t="shared" si="6"/>
        <v>41544.538589207521</v>
      </c>
    </row>
    <row r="28" spans="1:9" x14ac:dyDescent="0.2">
      <c r="E28" s="3"/>
      <c r="F28" s="3"/>
      <c r="G28" s="3"/>
      <c r="H28" s="3"/>
      <c r="I28" s="8">
        <f t="shared" si="6"/>
        <v>33000</v>
      </c>
    </row>
    <row r="29" spans="1:9" x14ac:dyDescent="0.2">
      <c r="E29" s="1"/>
      <c r="F29" s="7">
        <f>SUM(F18:F24)</f>
        <v>112500</v>
      </c>
      <c r="G29" s="3"/>
      <c r="H29" s="8">
        <f>SUM(H18:H27)</f>
        <v>297000.00000000006</v>
      </c>
      <c r="I29" s="3"/>
    </row>
    <row r="32" spans="1:9" ht="15.75" x14ac:dyDescent="0.25">
      <c r="E32" s="5" t="s">
        <v>25</v>
      </c>
      <c r="F32" s="5" t="s">
        <v>21</v>
      </c>
      <c r="G32" s="5" t="s">
        <v>23</v>
      </c>
      <c r="H32" s="5" t="s">
        <v>22</v>
      </c>
      <c r="I32" s="5" t="s">
        <v>24</v>
      </c>
    </row>
    <row r="33" spans="5:9" x14ac:dyDescent="0.2">
      <c r="E33" s="1">
        <v>1</v>
      </c>
      <c r="F33" s="11">
        <f>B8</f>
        <v>28125</v>
      </c>
      <c r="G33" s="7">
        <f>B17</f>
        <v>0</v>
      </c>
      <c r="H33" s="11">
        <f>C8</f>
        <v>54000</v>
      </c>
      <c r="I33" s="8">
        <f>C2</f>
        <v>330000</v>
      </c>
    </row>
    <row r="34" spans="5:9" x14ac:dyDescent="0.2">
      <c r="E34" s="1">
        <v>2</v>
      </c>
      <c r="F34" s="11">
        <f t="shared" ref="F34:F39" si="8">B9</f>
        <v>24107.142857142859</v>
      </c>
      <c r="G34" s="8">
        <f>G33-F33</f>
        <v>-28125</v>
      </c>
      <c r="H34" s="11">
        <f t="shared" ref="H34:H42" si="9">C9</f>
        <v>48600</v>
      </c>
      <c r="I34" s="8">
        <f t="shared" ref="I34:I43" si="10">I33-H33</f>
        <v>276000</v>
      </c>
    </row>
    <row r="35" spans="5:9" x14ac:dyDescent="0.2">
      <c r="E35" s="1">
        <v>3</v>
      </c>
      <c r="F35" s="11">
        <f t="shared" si="8"/>
        <v>20089.285714285714</v>
      </c>
      <c r="G35" s="8">
        <f t="shared" ref="G35:G40" si="11">G34-F34</f>
        <v>-52232.142857142855</v>
      </c>
      <c r="H35" s="11">
        <f t="shared" si="9"/>
        <v>43200</v>
      </c>
      <c r="I35" s="8">
        <f t="shared" si="10"/>
        <v>227400</v>
      </c>
    </row>
    <row r="36" spans="5:9" x14ac:dyDescent="0.2">
      <c r="E36" s="1">
        <v>4</v>
      </c>
      <c r="F36" s="11">
        <f t="shared" si="8"/>
        <v>16071.428571428571</v>
      </c>
      <c r="G36" s="8">
        <f t="shared" si="11"/>
        <v>-72321.428571428565</v>
      </c>
      <c r="H36" s="11">
        <f t="shared" si="9"/>
        <v>37800</v>
      </c>
      <c r="I36" s="8">
        <f t="shared" si="10"/>
        <v>184200</v>
      </c>
    </row>
    <row r="37" spans="5:9" x14ac:dyDescent="0.2">
      <c r="E37" s="1">
        <v>5</v>
      </c>
      <c r="F37" s="11">
        <f t="shared" si="8"/>
        <v>12053.571428571429</v>
      </c>
      <c r="G37" s="8">
        <f t="shared" si="11"/>
        <v>-88392.85714285713</v>
      </c>
      <c r="H37" s="11">
        <f t="shared" si="9"/>
        <v>32400</v>
      </c>
      <c r="I37" s="8">
        <f t="shared" si="10"/>
        <v>146400</v>
      </c>
    </row>
    <row r="38" spans="5:9" x14ac:dyDescent="0.2">
      <c r="E38" s="1">
        <v>6</v>
      </c>
      <c r="F38" s="11">
        <f t="shared" si="8"/>
        <v>8035.7142857142853</v>
      </c>
      <c r="G38" s="8">
        <f t="shared" si="11"/>
        <v>-100446.42857142857</v>
      </c>
      <c r="H38" s="11">
        <f t="shared" si="9"/>
        <v>27000</v>
      </c>
      <c r="I38" s="8">
        <f t="shared" si="10"/>
        <v>114000</v>
      </c>
    </row>
    <row r="39" spans="5:9" x14ac:dyDescent="0.2">
      <c r="E39" s="1">
        <v>7</v>
      </c>
      <c r="F39" s="11">
        <f t="shared" si="8"/>
        <v>4017.8571428571427</v>
      </c>
      <c r="G39" s="8">
        <f t="shared" si="11"/>
        <v>-108482.14285714286</v>
      </c>
      <c r="H39" s="11">
        <f t="shared" si="9"/>
        <v>21600</v>
      </c>
      <c r="I39" s="8">
        <f t="shared" si="10"/>
        <v>87000</v>
      </c>
    </row>
    <row r="40" spans="5:9" x14ac:dyDescent="0.2">
      <c r="E40" s="10">
        <v>8</v>
      </c>
      <c r="F40" s="3"/>
      <c r="G40" s="8">
        <f t="shared" si="11"/>
        <v>-112500</v>
      </c>
      <c r="H40" s="11">
        <f t="shared" si="9"/>
        <v>16200</v>
      </c>
      <c r="I40" s="8">
        <f t="shared" si="10"/>
        <v>65400</v>
      </c>
    </row>
    <row r="41" spans="5:9" x14ac:dyDescent="0.2">
      <c r="E41" s="1">
        <v>9</v>
      </c>
      <c r="F41" s="9"/>
      <c r="G41" s="3"/>
      <c r="H41" s="11">
        <f t="shared" si="9"/>
        <v>10800</v>
      </c>
      <c r="I41" s="8">
        <f t="shared" si="10"/>
        <v>49200</v>
      </c>
    </row>
    <row r="42" spans="5:9" x14ac:dyDescent="0.2">
      <c r="E42" s="1">
        <v>10</v>
      </c>
      <c r="F42" s="3"/>
      <c r="G42" s="3"/>
      <c r="H42" s="11">
        <f t="shared" si="9"/>
        <v>5400</v>
      </c>
      <c r="I42" s="8">
        <f t="shared" si="10"/>
        <v>38400</v>
      </c>
    </row>
    <row r="43" spans="5:9" x14ac:dyDescent="0.2">
      <c r="E43" s="3"/>
      <c r="F43" s="3"/>
      <c r="G43" s="3"/>
      <c r="H43" s="3"/>
      <c r="I43" s="8">
        <f t="shared" si="10"/>
        <v>33000</v>
      </c>
    </row>
    <row r="44" spans="5:9" x14ac:dyDescent="0.2">
      <c r="E44" s="1"/>
      <c r="F44" s="7">
        <f>SUM(F33:F39)</f>
        <v>112500</v>
      </c>
      <c r="G44" s="3"/>
      <c r="H44" s="8">
        <f>SUM(H33:H42)</f>
        <v>297000</v>
      </c>
      <c r="I44" s="3"/>
    </row>
    <row r="47" spans="5:9" ht="15.75" x14ac:dyDescent="0.25">
      <c r="E47" s="5" t="s">
        <v>25</v>
      </c>
      <c r="F47" s="5" t="s">
        <v>31</v>
      </c>
      <c r="G47" s="5" t="s">
        <v>29</v>
      </c>
    </row>
    <row r="48" spans="5:9" ht="15.75" x14ac:dyDescent="0.25">
      <c r="E48" s="5" t="s">
        <v>25</v>
      </c>
      <c r="F48" s="5">
        <f>SUM(E49:E55)</f>
        <v>28</v>
      </c>
      <c r="G48" s="5">
        <f>SUM(E49:E58)</f>
        <v>55</v>
      </c>
    </row>
    <row r="49" spans="5:7" x14ac:dyDescent="0.2">
      <c r="E49" s="1">
        <v>1</v>
      </c>
      <c r="F49" s="18">
        <f>E55/$F$48</f>
        <v>0.25</v>
      </c>
      <c r="G49" s="18">
        <f>E58/$G$48</f>
        <v>0.18181818181818182</v>
      </c>
    </row>
    <row r="50" spans="5:7" x14ac:dyDescent="0.2">
      <c r="E50" s="1">
        <v>2</v>
      </c>
      <c r="F50" s="18">
        <f>E54/$F$48</f>
        <v>0.21428571428571427</v>
      </c>
      <c r="G50" s="18">
        <f>E57/$G$48</f>
        <v>0.16363636363636364</v>
      </c>
    </row>
    <row r="51" spans="5:7" x14ac:dyDescent="0.2">
      <c r="E51" s="1">
        <v>3</v>
      </c>
      <c r="F51" s="18">
        <f>E53/$F$48</f>
        <v>0.17857142857142858</v>
      </c>
      <c r="G51" s="18">
        <f>E56/$G$48</f>
        <v>0.14545454545454545</v>
      </c>
    </row>
    <row r="52" spans="5:7" x14ac:dyDescent="0.2">
      <c r="E52" s="1">
        <v>4</v>
      </c>
      <c r="F52" s="18">
        <f>E52/$F$48</f>
        <v>0.14285714285714285</v>
      </c>
      <c r="G52" s="18">
        <f>E55/$G$48</f>
        <v>0.12727272727272726</v>
      </c>
    </row>
    <row r="53" spans="5:7" x14ac:dyDescent="0.2">
      <c r="E53" s="1">
        <v>5</v>
      </c>
      <c r="F53" s="18">
        <f>E51/$F$48</f>
        <v>0.10714285714285714</v>
      </c>
      <c r="G53" s="18">
        <f>E54/$G$48</f>
        <v>0.10909090909090909</v>
      </c>
    </row>
    <row r="54" spans="5:7" x14ac:dyDescent="0.2">
      <c r="E54" s="1">
        <v>6</v>
      </c>
      <c r="F54" s="18">
        <f>E50/$F$48</f>
        <v>7.1428571428571425E-2</v>
      </c>
      <c r="G54" s="18">
        <f>E53/$G$48</f>
        <v>9.0909090909090912E-2</v>
      </c>
    </row>
    <row r="55" spans="5:7" x14ac:dyDescent="0.2">
      <c r="E55" s="1">
        <v>7</v>
      </c>
      <c r="F55" s="18">
        <f>E49/$F$48</f>
        <v>3.5714285714285712E-2</v>
      </c>
      <c r="G55" s="18">
        <f>E52/$G$48</f>
        <v>7.2727272727272724E-2</v>
      </c>
    </row>
    <row r="56" spans="5:7" x14ac:dyDescent="0.2">
      <c r="E56" s="10">
        <v>8</v>
      </c>
      <c r="F56" s="19"/>
      <c r="G56" s="18">
        <f>E51/$G$48</f>
        <v>5.4545454545454543E-2</v>
      </c>
    </row>
    <row r="57" spans="5:7" x14ac:dyDescent="0.2">
      <c r="E57" s="1">
        <v>9</v>
      </c>
      <c r="F57" s="20"/>
      <c r="G57" s="18">
        <f>E50/$G$48</f>
        <v>3.6363636363636362E-2</v>
      </c>
    </row>
    <row r="58" spans="5:7" x14ac:dyDescent="0.2">
      <c r="E58" s="1">
        <v>10</v>
      </c>
      <c r="F58" s="19"/>
      <c r="G58" s="18">
        <f>E49/$G$48</f>
        <v>1.8181818181818181E-2</v>
      </c>
    </row>
    <row r="59" spans="5:7" x14ac:dyDescent="0.2">
      <c r="E59" s="3"/>
      <c r="F59" s="19"/>
      <c r="G59" s="19"/>
    </row>
    <row r="60" spans="5:7" ht="15.75" x14ac:dyDescent="0.25">
      <c r="E60" s="6" t="s">
        <v>30</v>
      </c>
      <c r="F60" s="18">
        <f>SUM(F49:F55)</f>
        <v>1</v>
      </c>
      <c r="G60" s="18">
        <f>SUM(G49:G58)</f>
        <v>1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CE97-A590-4946-8A80-003749067CFD}">
  <dimension ref="A1:N38"/>
  <sheetViews>
    <sheetView workbookViewId="0">
      <selection activeCell="Q29" sqref="Q29"/>
    </sheetView>
  </sheetViews>
  <sheetFormatPr defaultRowHeight="15" x14ac:dyDescent="0.2"/>
  <cols>
    <col min="1" max="1" width="15.109375" bestFit="1" customWidth="1"/>
    <col min="2" max="2" width="12.21875" bestFit="1" customWidth="1"/>
    <col min="3" max="3" width="12.44140625" bestFit="1" customWidth="1"/>
    <col min="4" max="4" width="11.21875" bestFit="1" customWidth="1"/>
    <col min="5" max="5" width="3.6640625" customWidth="1"/>
    <col min="6" max="6" width="12.21875" bestFit="1" customWidth="1"/>
    <col min="7" max="7" width="12.44140625" bestFit="1" customWidth="1"/>
    <col min="8" max="8" width="11.21875" bestFit="1" customWidth="1"/>
    <col min="9" max="9" width="3.21875" customWidth="1"/>
    <col min="10" max="10" width="11.21875" bestFit="1" customWidth="1"/>
    <col min="11" max="11" width="12.44140625" bestFit="1" customWidth="1"/>
    <col min="12" max="12" width="10.21875" bestFit="1" customWidth="1"/>
    <col min="14" max="14" width="10.88671875" bestFit="1" customWidth="1"/>
  </cols>
  <sheetData>
    <row r="1" spans="1:12" ht="15.75" x14ac:dyDescent="0.25">
      <c r="A1" s="23" t="s">
        <v>40</v>
      </c>
      <c r="B1" s="24">
        <v>0.06</v>
      </c>
      <c r="C1" s="24"/>
      <c r="D1" s="23"/>
      <c r="E1" s="23"/>
      <c r="F1" s="23"/>
      <c r="G1" s="23"/>
      <c r="H1" s="23"/>
      <c r="I1" s="23"/>
      <c r="J1" s="23"/>
      <c r="K1" s="23"/>
      <c r="L1" s="23"/>
    </row>
    <row r="2" spans="1:12" ht="15.75" x14ac:dyDescent="0.25">
      <c r="A2" s="6" t="s">
        <v>39</v>
      </c>
      <c r="B2" s="6" t="s">
        <v>36</v>
      </c>
      <c r="C2" s="6"/>
      <c r="D2" s="6"/>
      <c r="E2" s="5"/>
      <c r="F2" s="6" t="s">
        <v>37</v>
      </c>
      <c r="G2" s="6"/>
      <c r="H2" s="6"/>
      <c r="I2" s="5"/>
      <c r="J2" s="6" t="s">
        <v>46</v>
      </c>
      <c r="K2" s="6"/>
      <c r="L2" s="6"/>
    </row>
    <row r="3" spans="1:12" ht="15.75" x14ac:dyDescent="0.25">
      <c r="A3" s="6" t="s">
        <v>41</v>
      </c>
      <c r="B3" s="25">
        <v>125000</v>
      </c>
      <c r="C3" s="25"/>
      <c r="D3" s="6"/>
      <c r="E3" s="5"/>
      <c r="F3" s="26">
        <v>330000</v>
      </c>
      <c r="G3" s="26"/>
      <c r="H3" s="6"/>
      <c r="I3" s="5"/>
      <c r="J3" s="27">
        <v>20000</v>
      </c>
      <c r="K3" s="27"/>
      <c r="L3" s="6"/>
    </row>
    <row r="4" spans="1:12" ht="15.75" x14ac:dyDescent="0.25">
      <c r="A4" s="6" t="s">
        <v>42</v>
      </c>
      <c r="B4" s="6">
        <v>5</v>
      </c>
      <c r="C4" s="6"/>
      <c r="D4" s="6"/>
      <c r="E4" s="5"/>
      <c r="F4" s="6">
        <v>8</v>
      </c>
      <c r="G4" s="6"/>
      <c r="H4" s="6"/>
      <c r="I4" s="5"/>
      <c r="J4" s="6">
        <v>10</v>
      </c>
      <c r="K4" s="6"/>
      <c r="L4" s="6"/>
    </row>
    <row r="5" spans="1:12" ht="15.75" x14ac:dyDescent="0.25">
      <c r="A5" s="6" t="s">
        <v>72</v>
      </c>
      <c r="B5" s="6" t="s">
        <v>73</v>
      </c>
      <c r="C5" s="6"/>
      <c r="D5" s="6"/>
      <c r="E5" s="5"/>
      <c r="F5" s="6" t="s">
        <v>73</v>
      </c>
      <c r="G5" s="6"/>
      <c r="H5" s="6"/>
      <c r="I5" s="5"/>
      <c r="J5" s="6" t="s">
        <v>73</v>
      </c>
      <c r="K5" s="6"/>
      <c r="L5" s="6"/>
    </row>
    <row r="6" spans="1:12" ht="15.75" x14ac:dyDescent="0.25">
      <c r="A6" s="5" t="s">
        <v>45</v>
      </c>
      <c r="B6" s="5" t="s">
        <v>43</v>
      </c>
      <c r="C6" s="5" t="s">
        <v>47</v>
      </c>
      <c r="D6" s="5" t="s">
        <v>44</v>
      </c>
      <c r="E6" s="5"/>
      <c r="F6" s="5" t="s">
        <v>43</v>
      </c>
      <c r="G6" s="5" t="s">
        <v>47</v>
      </c>
      <c r="H6" s="5" t="s">
        <v>44</v>
      </c>
      <c r="I6" s="5"/>
      <c r="J6" s="5" t="s">
        <v>43</v>
      </c>
      <c r="K6" s="5" t="s">
        <v>47</v>
      </c>
      <c r="L6" s="5" t="s">
        <v>44</v>
      </c>
    </row>
    <row r="7" spans="1:12" x14ac:dyDescent="0.2">
      <c r="A7" s="1">
        <v>1</v>
      </c>
      <c r="B7" s="8">
        <f>B3/B4</f>
        <v>25000</v>
      </c>
      <c r="C7" s="8">
        <f>B3-B7</f>
        <v>100000</v>
      </c>
      <c r="D7" s="8">
        <f>$B$1*B3</f>
        <v>7500</v>
      </c>
      <c r="E7" s="3"/>
      <c r="F7" s="22">
        <f>F3/F4</f>
        <v>41250</v>
      </c>
      <c r="G7" s="22">
        <f>F3-F7</f>
        <v>288750</v>
      </c>
      <c r="H7" s="22">
        <f>B1*F3</f>
        <v>19800</v>
      </c>
      <c r="I7" s="3"/>
      <c r="J7" s="8">
        <f>J3/J4</f>
        <v>2000</v>
      </c>
      <c r="K7" s="8">
        <f>J3-J7</f>
        <v>18000</v>
      </c>
      <c r="L7" s="8">
        <f>B1*J3</f>
        <v>1200</v>
      </c>
    </row>
    <row r="8" spans="1:12" x14ac:dyDescent="0.2">
      <c r="A8" s="1">
        <v>2</v>
      </c>
      <c r="B8" s="8">
        <f>B7</f>
        <v>25000</v>
      </c>
      <c r="C8" s="8">
        <f>C7-B8</f>
        <v>75000</v>
      </c>
      <c r="D8" s="8">
        <f>$B$1*C7</f>
        <v>6000</v>
      </c>
      <c r="E8" s="3"/>
      <c r="F8" s="22">
        <f>F7</f>
        <v>41250</v>
      </c>
      <c r="G8" s="22">
        <f>G7-F8</f>
        <v>247500</v>
      </c>
      <c r="H8" s="22">
        <f>$B$1*G7</f>
        <v>17325</v>
      </c>
      <c r="I8" s="3"/>
      <c r="J8" s="8">
        <f>J7</f>
        <v>2000</v>
      </c>
      <c r="K8" s="8">
        <f>K7-J8</f>
        <v>16000</v>
      </c>
      <c r="L8" s="8">
        <f>$B$1*K7</f>
        <v>1080</v>
      </c>
    </row>
    <row r="9" spans="1:12" x14ac:dyDescent="0.2">
      <c r="A9" s="1">
        <v>3</v>
      </c>
      <c r="B9" s="8">
        <f>B7</f>
        <v>25000</v>
      </c>
      <c r="C9" s="8">
        <f t="shared" ref="C9:C11" si="0">C8-B9</f>
        <v>50000</v>
      </c>
      <c r="D9" s="8">
        <f t="shared" ref="D9:D11" si="1">$B$1*C8</f>
        <v>4500</v>
      </c>
      <c r="E9" s="3"/>
      <c r="F9" s="22">
        <f>F7</f>
        <v>41250</v>
      </c>
      <c r="G9" s="22">
        <f t="shared" ref="G9:G14" si="2">G8-F9</f>
        <v>206250</v>
      </c>
      <c r="H9" s="22">
        <f t="shared" ref="H9:H14" si="3">$B$1*G8</f>
        <v>14850</v>
      </c>
      <c r="I9" s="3"/>
      <c r="J9" s="8">
        <f>J7</f>
        <v>2000</v>
      </c>
      <c r="K9" s="8">
        <f t="shared" ref="K9:K16" si="4">K8-J9</f>
        <v>14000</v>
      </c>
      <c r="L9" s="8">
        <f t="shared" ref="L9:L16" si="5">$B$1*K8</f>
        <v>960</v>
      </c>
    </row>
    <row r="10" spans="1:12" x14ac:dyDescent="0.2">
      <c r="A10" s="1">
        <v>4</v>
      </c>
      <c r="B10" s="8">
        <f>B7</f>
        <v>25000</v>
      </c>
      <c r="C10" s="8">
        <f t="shared" si="0"/>
        <v>25000</v>
      </c>
      <c r="D10" s="8">
        <f t="shared" si="1"/>
        <v>3000</v>
      </c>
      <c r="E10" s="3"/>
      <c r="F10" s="22">
        <f>F7</f>
        <v>41250</v>
      </c>
      <c r="G10" s="22">
        <f t="shared" si="2"/>
        <v>165000</v>
      </c>
      <c r="H10" s="22">
        <f t="shared" si="3"/>
        <v>12375</v>
      </c>
      <c r="I10" s="3"/>
      <c r="J10" s="8">
        <f>J7</f>
        <v>2000</v>
      </c>
      <c r="K10" s="8">
        <f t="shared" si="4"/>
        <v>12000</v>
      </c>
      <c r="L10" s="8">
        <f t="shared" si="5"/>
        <v>840</v>
      </c>
    </row>
    <row r="11" spans="1:12" x14ac:dyDescent="0.2">
      <c r="A11" s="1">
        <v>5</v>
      </c>
      <c r="B11" s="8">
        <f>B7</f>
        <v>25000</v>
      </c>
      <c r="C11" s="8">
        <f t="shared" si="0"/>
        <v>0</v>
      </c>
      <c r="D11" s="8">
        <f t="shared" si="1"/>
        <v>1500</v>
      </c>
      <c r="E11" s="3"/>
      <c r="F11" s="22">
        <f>F7</f>
        <v>41250</v>
      </c>
      <c r="G11" s="22">
        <f t="shared" si="2"/>
        <v>123750</v>
      </c>
      <c r="H11" s="22">
        <f t="shared" si="3"/>
        <v>9900</v>
      </c>
      <c r="I11" s="3"/>
      <c r="J11" s="8">
        <f>J7</f>
        <v>2000</v>
      </c>
      <c r="K11" s="8">
        <f t="shared" si="4"/>
        <v>10000</v>
      </c>
      <c r="L11" s="8">
        <f t="shared" si="5"/>
        <v>720</v>
      </c>
    </row>
    <row r="12" spans="1:12" x14ac:dyDescent="0.2">
      <c r="A12" s="1">
        <v>6</v>
      </c>
      <c r="B12" s="3"/>
      <c r="C12" s="3"/>
      <c r="D12" s="3"/>
      <c r="E12" s="3"/>
      <c r="F12" s="22">
        <f>F7</f>
        <v>41250</v>
      </c>
      <c r="G12" s="22">
        <f t="shared" si="2"/>
        <v>82500</v>
      </c>
      <c r="H12" s="22">
        <f t="shared" si="3"/>
        <v>7425</v>
      </c>
      <c r="I12" s="3"/>
      <c r="J12" s="8">
        <f>J7</f>
        <v>2000</v>
      </c>
      <c r="K12" s="8">
        <f t="shared" si="4"/>
        <v>8000</v>
      </c>
      <c r="L12" s="8">
        <f t="shared" si="5"/>
        <v>600</v>
      </c>
    </row>
    <row r="13" spans="1:12" x14ac:dyDescent="0.2">
      <c r="A13" s="1">
        <v>7</v>
      </c>
      <c r="B13" s="3"/>
      <c r="C13" s="3"/>
      <c r="D13" s="3"/>
      <c r="E13" s="3"/>
      <c r="F13" s="22">
        <f>F7</f>
        <v>41250</v>
      </c>
      <c r="G13" s="22">
        <f t="shared" si="2"/>
        <v>41250</v>
      </c>
      <c r="H13" s="22">
        <f t="shared" si="3"/>
        <v>4950</v>
      </c>
      <c r="I13" s="3"/>
      <c r="J13" s="8">
        <f>J7</f>
        <v>2000</v>
      </c>
      <c r="K13" s="8">
        <f t="shared" si="4"/>
        <v>6000</v>
      </c>
      <c r="L13" s="8">
        <f t="shared" si="5"/>
        <v>480</v>
      </c>
    </row>
    <row r="14" spans="1:12" x14ac:dyDescent="0.2">
      <c r="A14" s="1">
        <v>8</v>
      </c>
      <c r="B14" s="3"/>
      <c r="C14" s="3"/>
      <c r="D14" s="3"/>
      <c r="E14" s="3"/>
      <c r="F14" s="22">
        <f>F7</f>
        <v>41250</v>
      </c>
      <c r="G14" s="22">
        <f t="shared" si="2"/>
        <v>0</v>
      </c>
      <c r="H14" s="22">
        <f t="shared" si="3"/>
        <v>2475</v>
      </c>
      <c r="I14" s="3"/>
      <c r="J14" s="8">
        <f>J7</f>
        <v>2000</v>
      </c>
      <c r="K14" s="8">
        <f t="shared" si="4"/>
        <v>4000</v>
      </c>
      <c r="L14" s="8">
        <f t="shared" si="5"/>
        <v>360</v>
      </c>
    </row>
    <row r="15" spans="1:12" x14ac:dyDescent="0.2">
      <c r="A15" s="1">
        <v>9</v>
      </c>
      <c r="B15" s="3"/>
      <c r="C15" s="3"/>
      <c r="D15" s="3"/>
      <c r="E15" s="3"/>
      <c r="F15" s="3"/>
      <c r="G15" s="3"/>
      <c r="H15" s="3"/>
      <c r="I15" s="3"/>
      <c r="J15" s="8">
        <f>J7</f>
        <v>2000</v>
      </c>
      <c r="K15" s="8">
        <f t="shared" si="4"/>
        <v>2000</v>
      </c>
      <c r="L15" s="8">
        <f t="shared" si="5"/>
        <v>240</v>
      </c>
    </row>
    <row r="16" spans="1:12" x14ac:dyDescent="0.2">
      <c r="A16" s="1">
        <v>10</v>
      </c>
      <c r="B16" s="3"/>
      <c r="C16" s="3"/>
      <c r="D16" s="3"/>
      <c r="E16" s="3"/>
      <c r="F16" s="3"/>
      <c r="G16" s="3"/>
      <c r="H16" s="3"/>
      <c r="I16" s="3"/>
      <c r="J16" s="8">
        <f>J7</f>
        <v>2000</v>
      </c>
      <c r="K16" s="8">
        <f t="shared" si="4"/>
        <v>0</v>
      </c>
      <c r="L16" s="8">
        <f t="shared" si="5"/>
        <v>120</v>
      </c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4" x14ac:dyDescent="0.2">
      <c r="A18" s="1" t="s">
        <v>30</v>
      </c>
      <c r="B18" s="7">
        <f>SUM(B7:B11)</f>
        <v>125000</v>
      </c>
      <c r="C18" s="9"/>
      <c r="D18" s="7">
        <f>SUM(D7:D11)</f>
        <v>22500</v>
      </c>
      <c r="E18" s="9"/>
      <c r="F18" s="7">
        <f>SUM(F7:F14)</f>
        <v>330000</v>
      </c>
      <c r="G18" s="9"/>
      <c r="H18" s="7">
        <f>SUM(H7:H14)</f>
        <v>89100</v>
      </c>
      <c r="I18" s="9"/>
      <c r="J18" s="7">
        <f>SUM(J7:J16)</f>
        <v>20000</v>
      </c>
      <c r="K18" s="9"/>
      <c r="L18" s="7">
        <f>SUM(L7:L16)</f>
        <v>6600</v>
      </c>
    </row>
    <row r="21" spans="1:14" ht="15.75" x14ac:dyDescent="0.25">
      <c r="A21" s="23" t="s">
        <v>40</v>
      </c>
      <c r="B21" s="24">
        <v>0.06</v>
      </c>
      <c r="C21" s="24"/>
      <c r="D21" s="23"/>
      <c r="E21" s="23"/>
      <c r="F21" s="23"/>
      <c r="G21" s="23"/>
      <c r="H21" s="23"/>
      <c r="I21" s="23"/>
      <c r="J21" s="23"/>
      <c r="K21" s="23"/>
      <c r="L21" s="23"/>
    </row>
    <row r="22" spans="1:14" ht="15.75" x14ac:dyDescent="0.25">
      <c r="A22" s="6" t="s">
        <v>39</v>
      </c>
      <c r="B22" s="6" t="s">
        <v>36</v>
      </c>
      <c r="C22" s="6"/>
      <c r="D22" s="6"/>
      <c r="E22" s="5"/>
      <c r="F22" s="6" t="s">
        <v>37</v>
      </c>
      <c r="G22" s="6"/>
      <c r="H22" s="6"/>
      <c r="I22" s="5"/>
      <c r="J22" s="6" t="s">
        <v>46</v>
      </c>
      <c r="K22" s="6"/>
      <c r="L22" s="6"/>
    </row>
    <row r="23" spans="1:14" ht="15.75" x14ac:dyDescent="0.25">
      <c r="A23" s="6" t="s">
        <v>41</v>
      </c>
      <c r="B23" s="25">
        <v>125000</v>
      </c>
      <c r="C23" s="25"/>
      <c r="D23" s="6"/>
      <c r="E23" s="5"/>
      <c r="F23" s="26">
        <v>330000</v>
      </c>
      <c r="G23" s="26"/>
      <c r="H23" s="6"/>
      <c r="I23" s="5"/>
      <c r="J23" s="27">
        <v>20000</v>
      </c>
      <c r="K23" s="27"/>
      <c r="L23" s="6"/>
    </row>
    <row r="24" spans="1:14" ht="15.75" x14ac:dyDescent="0.25">
      <c r="A24" s="6" t="s">
        <v>42</v>
      </c>
      <c r="B24" s="6">
        <v>5</v>
      </c>
      <c r="C24" s="6"/>
      <c r="D24" s="6"/>
      <c r="E24" s="5"/>
      <c r="F24" s="6">
        <v>8</v>
      </c>
      <c r="G24" s="6"/>
      <c r="H24" s="6"/>
      <c r="I24" s="5"/>
      <c r="J24" s="6">
        <v>10</v>
      </c>
      <c r="K24" s="6"/>
      <c r="L24" s="6"/>
    </row>
    <row r="25" spans="1:14" ht="15.75" x14ac:dyDescent="0.25">
      <c r="A25" s="6" t="s">
        <v>72</v>
      </c>
      <c r="B25" s="6" t="s">
        <v>74</v>
      </c>
      <c r="C25" s="27">
        <f>(B23*B21)/(1-(1+B21)^-B24)</f>
        <v>29674.550053898671</v>
      </c>
      <c r="D25" s="30">
        <f>-PMT(B21,B24,B23)</f>
        <v>29674.5500538987</v>
      </c>
      <c r="E25" s="5"/>
      <c r="F25" s="6" t="s">
        <v>74</v>
      </c>
      <c r="G25" s="27">
        <f>(F23*B21)/(1-(1+B21)^-F24)</f>
        <v>53141.861073882559</v>
      </c>
      <c r="H25" s="30">
        <f>-PMT(B21,F24,F23)</f>
        <v>53141.86107388261</v>
      </c>
      <c r="I25" s="5"/>
      <c r="J25" s="6" t="s">
        <v>74</v>
      </c>
      <c r="K25" s="27">
        <f>(J23*B21)/(1-(1+B21)^-J24)</f>
        <v>2717.3591644076746</v>
      </c>
      <c r="L25" s="30">
        <f>-PMT(B21,J24,J23)</f>
        <v>2717.3591644076764</v>
      </c>
      <c r="N25" s="29"/>
    </row>
    <row r="26" spans="1:14" ht="15.75" x14ac:dyDescent="0.25">
      <c r="A26" s="5" t="s">
        <v>45</v>
      </c>
      <c r="B26" s="5" t="s">
        <v>43</v>
      </c>
      <c r="C26" s="5" t="s">
        <v>47</v>
      </c>
      <c r="D26" s="5" t="s">
        <v>44</v>
      </c>
      <c r="E26" s="5"/>
      <c r="F26" s="5" t="s">
        <v>43</v>
      </c>
      <c r="G26" s="5" t="s">
        <v>47</v>
      </c>
      <c r="H26" s="5" t="s">
        <v>44</v>
      </c>
      <c r="I26" s="5"/>
      <c r="J26" s="5" t="s">
        <v>43</v>
      </c>
      <c r="K26" s="5" t="s">
        <v>47</v>
      </c>
      <c r="L26" s="5" t="s">
        <v>44</v>
      </c>
    </row>
    <row r="27" spans="1:14" x14ac:dyDescent="0.2">
      <c r="A27" s="1">
        <v>1</v>
      </c>
      <c r="B27" s="8">
        <f>$C$25-D27</f>
        <v>22174.550053898671</v>
      </c>
      <c r="C27" s="8">
        <f>B23-B27</f>
        <v>102825.44994610133</v>
      </c>
      <c r="D27" s="8">
        <f>$B$21*B23</f>
        <v>7500</v>
      </c>
      <c r="E27" s="3"/>
      <c r="F27" s="22">
        <f>$G$25-H27</f>
        <v>33341.861073882559</v>
      </c>
      <c r="G27" s="22">
        <f>F23-F27</f>
        <v>296658.13892611745</v>
      </c>
      <c r="H27" s="22">
        <f>B21*F23</f>
        <v>19800</v>
      </c>
      <c r="I27" s="3"/>
      <c r="J27" s="8">
        <f>$K$25-L27</f>
        <v>1517.3591644076746</v>
      </c>
      <c r="K27" s="8">
        <f>J23-J27</f>
        <v>18482.640835592327</v>
      </c>
      <c r="L27" s="8">
        <f>B21*J23</f>
        <v>1200</v>
      </c>
    </row>
    <row r="28" spans="1:14" x14ac:dyDescent="0.2">
      <c r="A28" s="1">
        <v>2</v>
      </c>
      <c r="B28" s="8">
        <f t="shared" ref="B28:B31" si="6">$C$25-D28</f>
        <v>23505.023057132592</v>
      </c>
      <c r="C28" s="8">
        <f>C27-B28</f>
        <v>79320.426888968737</v>
      </c>
      <c r="D28" s="8">
        <f>$B$21*C27</f>
        <v>6169.5269967660797</v>
      </c>
      <c r="E28" s="3"/>
      <c r="F28" s="22">
        <f t="shared" ref="F28:F34" si="7">$G$25-H28</f>
        <v>35342.372738315513</v>
      </c>
      <c r="G28" s="22">
        <f>G27-F28</f>
        <v>261315.76618780193</v>
      </c>
      <c r="H28" s="22">
        <f>$B$1*G27</f>
        <v>17799.488335567046</v>
      </c>
      <c r="I28" s="3"/>
      <c r="J28" s="8">
        <f t="shared" ref="J28:J36" si="8">$K$25-L28</f>
        <v>1608.400714272135</v>
      </c>
      <c r="K28" s="8">
        <f>K27-J28</f>
        <v>16874.240121320192</v>
      </c>
      <c r="L28" s="8">
        <f>$B$21*K27</f>
        <v>1108.9584501355396</v>
      </c>
    </row>
    <row r="29" spans="1:14" x14ac:dyDescent="0.2">
      <c r="A29" s="1">
        <v>3</v>
      </c>
      <c r="B29" s="8">
        <f t="shared" si="6"/>
        <v>24915.324440560547</v>
      </c>
      <c r="C29" s="8">
        <f t="shared" ref="C29:C31" si="9">C28-B29</f>
        <v>54405.102448408186</v>
      </c>
      <c r="D29" s="8">
        <f t="shared" ref="D29:D31" si="10">$B$21*C28</f>
        <v>4759.2256133381243</v>
      </c>
      <c r="E29" s="3"/>
      <c r="F29" s="22">
        <f t="shared" si="7"/>
        <v>37462.915102614446</v>
      </c>
      <c r="G29" s="22">
        <f t="shared" ref="G29:G34" si="11">G28-F29</f>
        <v>223852.85108518749</v>
      </c>
      <c r="H29" s="22">
        <f t="shared" ref="H29:H34" si="12">$B$1*G28</f>
        <v>15678.945971268115</v>
      </c>
      <c r="I29" s="3"/>
      <c r="J29" s="8">
        <f t="shared" si="8"/>
        <v>1704.9047571284632</v>
      </c>
      <c r="K29" s="8">
        <f t="shared" ref="K29:K36" si="13">K28-J29</f>
        <v>15169.335364191729</v>
      </c>
      <c r="L29" s="8">
        <f t="shared" ref="L29:L36" si="14">$B$21*K28</f>
        <v>1012.4544072792115</v>
      </c>
    </row>
    <row r="30" spans="1:14" x14ac:dyDescent="0.2">
      <c r="A30" s="1">
        <v>4</v>
      </c>
      <c r="B30" s="8">
        <f t="shared" si="6"/>
        <v>26410.243906994179</v>
      </c>
      <c r="C30" s="8">
        <f t="shared" si="9"/>
        <v>27994.858541414007</v>
      </c>
      <c r="D30" s="8">
        <f t="shared" si="10"/>
        <v>3264.306146904491</v>
      </c>
      <c r="E30" s="3"/>
      <c r="F30" s="22">
        <f t="shared" si="7"/>
        <v>39710.690008771315</v>
      </c>
      <c r="G30" s="22">
        <f t="shared" si="11"/>
        <v>184142.16107641617</v>
      </c>
      <c r="H30" s="22">
        <f t="shared" si="12"/>
        <v>13431.171065111248</v>
      </c>
      <c r="I30" s="3"/>
      <c r="J30" s="8">
        <f t="shared" si="8"/>
        <v>1807.1990425561708</v>
      </c>
      <c r="K30" s="8">
        <f t="shared" si="13"/>
        <v>13362.136321635558</v>
      </c>
      <c r="L30" s="8">
        <f t="shared" si="14"/>
        <v>910.16012185150373</v>
      </c>
    </row>
    <row r="31" spans="1:14" x14ac:dyDescent="0.2">
      <c r="A31" s="1">
        <v>5</v>
      </c>
      <c r="B31" s="8">
        <f t="shared" si="6"/>
        <v>27994.858541413829</v>
      </c>
      <c r="C31" s="8">
        <f t="shared" si="9"/>
        <v>1.7826096154749393E-10</v>
      </c>
      <c r="D31" s="8">
        <f t="shared" si="10"/>
        <v>1679.6915124848404</v>
      </c>
      <c r="E31" s="3"/>
      <c r="F31" s="22">
        <f t="shared" si="7"/>
        <v>42093.331409297592</v>
      </c>
      <c r="G31" s="22">
        <f t="shared" si="11"/>
        <v>142048.82966711858</v>
      </c>
      <c r="H31" s="22">
        <f t="shared" si="12"/>
        <v>11048.52966458497</v>
      </c>
      <c r="I31" s="3"/>
      <c r="J31" s="8">
        <f t="shared" si="8"/>
        <v>1915.6309851095411</v>
      </c>
      <c r="K31" s="8">
        <f t="shared" si="13"/>
        <v>11446.505336526017</v>
      </c>
      <c r="L31" s="8">
        <f t="shared" si="14"/>
        <v>801.72817929813345</v>
      </c>
    </row>
    <row r="32" spans="1:14" x14ac:dyDescent="0.2">
      <c r="A32" s="1">
        <v>6</v>
      </c>
      <c r="B32" s="3"/>
      <c r="C32" s="28"/>
      <c r="D32" s="3"/>
      <c r="E32" s="3"/>
      <c r="F32" s="22">
        <f t="shared" si="7"/>
        <v>44618.931293855443</v>
      </c>
      <c r="G32" s="22">
        <f t="shared" si="11"/>
        <v>97429.898373263131</v>
      </c>
      <c r="H32" s="22">
        <f t="shared" si="12"/>
        <v>8522.9297800271142</v>
      </c>
      <c r="I32" s="3"/>
      <c r="J32" s="8">
        <f t="shared" si="8"/>
        <v>2030.5688442161136</v>
      </c>
      <c r="K32" s="8">
        <f t="shared" si="13"/>
        <v>9415.9364923099038</v>
      </c>
      <c r="L32" s="8">
        <f t="shared" si="14"/>
        <v>686.79032019156102</v>
      </c>
    </row>
    <row r="33" spans="1:12" x14ac:dyDescent="0.2">
      <c r="A33" s="1">
        <v>7</v>
      </c>
      <c r="B33" s="3"/>
      <c r="C33" s="3"/>
      <c r="D33" s="3"/>
      <c r="E33" s="3"/>
      <c r="F33" s="22">
        <f t="shared" si="7"/>
        <v>47296.067171486771</v>
      </c>
      <c r="G33" s="22">
        <f t="shared" si="11"/>
        <v>50133.83120177636</v>
      </c>
      <c r="H33" s="22">
        <f t="shared" si="12"/>
        <v>5845.7939023957879</v>
      </c>
      <c r="I33" s="3"/>
      <c r="J33" s="8">
        <f t="shared" si="8"/>
        <v>2152.4029748690805</v>
      </c>
      <c r="K33" s="8">
        <f t="shared" si="13"/>
        <v>7263.5335174408228</v>
      </c>
      <c r="L33" s="8">
        <f t="shared" si="14"/>
        <v>564.95618953859423</v>
      </c>
    </row>
    <row r="34" spans="1:12" x14ac:dyDescent="0.2">
      <c r="A34" s="1">
        <v>8</v>
      </c>
      <c r="B34" s="3"/>
      <c r="C34" s="3"/>
      <c r="D34" s="3"/>
      <c r="E34" s="3"/>
      <c r="F34" s="22">
        <f t="shared" si="7"/>
        <v>50133.831201775974</v>
      </c>
      <c r="G34" s="22">
        <f t="shared" si="11"/>
        <v>3.8562575355172157E-10</v>
      </c>
      <c r="H34" s="22">
        <f t="shared" si="12"/>
        <v>3008.0298721065815</v>
      </c>
      <c r="I34" s="3"/>
      <c r="J34" s="8">
        <f t="shared" si="8"/>
        <v>2281.5471533612254</v>
      </c>
      <c r="K34" s="8">
        <f t="shared" si="13"/>
        <v>4981.9863640795975</v>
      </c>
      <c r="L34" s="8">
        <f t="shared" si="14"/>
        <v>435.81201104644936</v>
      </c>
    </row>
    <row r="35" spans="1:12" x14ac:dyDescent="0.2">
      <c r="A35" s="1">
        <v>9</v>
      </c>
      <c r="B35" s="3"/>
      <c r="C35" s="3"/>
      <c r="D35" s="3"/>
      <c r="E35" s="3"/>
      <c r="F35" s="3"/>
      <c r="G35" s="3"/>
      <c r="H35" s="3"/>
      <c r="I35" s="3"/>
      <c r="J35" s="8">
        <f t="shared" si="8"/>
        <v>2418.4399825628989</v>
      </c>
      <c r="K35" s="8">
        <f t="shared" si="13"/>
        <v>2563.5463815166986</v>
      </c>
      <c r="L35" s="8">
        <f t="shared" si="14"/>
        <v>298.91918184477584</v>
      </c>
    </row>
    <row r="36" spans="1:12" x14ac:dyDescent="0.2">
      <c r="A36" s="1">
        <v>10</v>
      </c>
      <c r="B36" s="3"/>
      <c r="C36" s="3"/>
      <c r="D36" s="3"/>
      <c r="E36" s="3"/>
      <c r="F36" s="3"/>
      <c r="G36" s="3"/>
      <c r="H36" s="3"/>
      <c r="I36" s="3"/>
      <c r="J36" s="8">
        <f t="shared" si="8"/>
        <v>2563.5463815166727</v>
      </c>
      <c r="K36" s="8">
        <f t="shared" si="13"/>
        <v>2.5920599000528455E-11</v>
      </c>
      <c r="L36" s="8">
        <f t="shared" si="14"/>
        <v>153.81278289100192</v>
      </c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1" t="s">
        <v>30</v>
      </c>
      <c r="B38" s="7">
        <f>SUM(B27:B31)</f>
        <v>124999.99999999983</v>
      </c>
      <c r="C38" s="9"/>
      <c r="D38" s="7">
        <f>SUM(D27:D31)</f>
        <v>23372.750269493536</v>
      </c>
      <c r="E38" s="9"/>
      <c r="F38" s="7">
        <f>SUM(F27:F34)</f>
        <v>329999.99999999965</v>
      </c>
      <c r="G38" s="9"/>
      <c r="H38" s="7">
        <f>SUM(H27:H34)</f>
        <v>95134.888591060866</v>
      </c>
      <c r="I38" s="9"/>
      <c r="J38" s="7">
        <f>SUM(J27:J36)</f>
        <v>19999.999999999978</v>
      </c>
      <c r="K38" s="9"/>
      <c r="L38" s="7">
        <f>SUM(L27:L36)</f>
        <v>7173.5916440767705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279D-6AE9-4E37-882D-F5254C2D6ECC}">
  <dimension ref="A1:C8"/>
  <sheetViews>
    <sheetView workbookViewId="0">
      <selection activeCell="C7" sqref="C7"/>
    </sheetView>
  </sheetViews>
  <sheetFormatPr defaultRowHeight="15" x14ac:dyDescent="0.2"/>
  <cols>
    <col min="1" max="1" width="21.77734375" customWidth="1"/>
    <col min="2" max="2" width="18.44140625" bestFit="1" customWidth="1"/>
    <col min="3" max="3" width="19.5546875" bestFit="1" customWidth="1"/>
  </cols>
  <sheetData>
    <row r="1" spans="1:3" ht="15.75" x14ac:dyDescent="0.25">
      <c r="A1" s="3"/>
      <c r="B1" s="5" t="s">
        <v>0</v>
      </c>
      <c r="C1" s="5" t="s">
        <v>1</v>
      </c>
    </row>
    <row r="2" spans="1:3" x14ac:dyDescent="0.2">
      <c r="A2" s="1" t="s">
        <v>64</v>
      </c>
      <c r="B2" s="7">
        <v>7200</v>
      </c>
      <c r="C2" s="7">
        <v>5760</v>
      </c>
    </row>
    <row r="3" spans="1:3" x14ac:dyDescent="0.2">
      <c r="A3" s="1" t="s">
        <v>66</v>
      </c>
      <c r="B3" s="1">
        <f>'I. Investment TT'!B5</f>
        <v>7</v>
      </c>
      <c r="C3" s="1">
        <f>'I. Investment TT'!C5</f>
        <v>10</v>
      </c>
    </row>
    <row r="4" spans="1:3" x14ac:dyDescent="0.2">
      <c r="A4" s="3"/>
      <c r="B4" s="3"/>
      <c r="C4" s="3"/>
    </row>
    <row r="5" spans="1:3" x14ac:dyDescent="0.2">
      <c r="A5" s="1" t="s">
        <v>67</v>
      </c>
      <c r="B5" s="8">
        <f>B2*B3</f>
        <v>50400</v>
      </c>
      <c r="C5" s="8">
        <f>C2*C3</f>
        <v>57600</v>
      </c>
    </row>
    <row r="6" spans="1:3" x14ac:dyDescent="0.2">
      <c r="A6" s="1" t="s">
        <v>65</v>
      </c>
      <c r="B6" s="7"/>
      <c r="C6" s="7">
        <v>60000</v>
      </c>
    </row>
    <row r="7" spans="1:3" x14ac:dyDescent="0.2">
      <c r="A7" s="3"/>
      <c r="B7" s="9"/>
      <c r="C7" s="9"/>
    </row>
    <row r="8" spans="1:3" x14ac:dyDescent="0.2">
      <c r="A8" s="1" t="s">
        <v>68</v>
      </c>
      <c r="B8" s="7">
        <f>B5+B6</f>
        <v>50400</v>
      </c>
      <c r="C8" s="7">
        <f>C5+C6</f>
        <v>117600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3DCB-D579-4B74-8776-24BC4BA9DCA1}">
  <dimension ref="A1:C2"/>
  <sheetViews>
    <sheetView workbookViewId="0">
      <selection sqref="A1:C2"/>
    </sheetView>
  </sheetViews>
  <sheetFormatPr defaultRowHeight="15" x14ac:dyDescent="0.2"/>
  <cols>
    <col min="1" max="1" width="24.6640625" bestFit="1" customWidth="1"/>
    <col min="2" max="2" width="18.44140625" bestFit="1" customWidth="1"/>
    <col min="3" max="3" width="19.5546875" bestFit="1" customWidth="1"/>
  </cols>
  <sheetData>
    <row r="1" spans="1:3" ht="15.75" x14ac:dyDescent="0.25">
      <c r="A1" s="3"/>
      <c r="B1" s="5" t="s">
        <v>0</v>
      </c>
      <c r="C1" s="5" t="s">
        <v>1</v>
      </c>
    </row>
    <row r="2" spans="1:3" x14ac:dyDescent="0.2">
      <c r="A2" s="1" t="s">
        <v>62</v>
      </c>
      <c r="B2" s="1">
        <v>0.17</v>
      </c>
      <c r="C2" s="1">
        <v>0.04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ETO Truck Overview</vt:lpstr>
      <vt:lpstr>IV. Fiscal</vt:lpstr>
      <vt:lpstr>III. Days and KMs</vt:lpstr>
      <vt:lpstr>I. Investement Infra</vt:lpstr>
      <vt:lpstr>I. Investment TT</vt:lpstr>
      <vt:lpstr>II. Repayment bank loan</vt:lpstr>
      <vt:lpstr>III. Maintenance</vt:lpstr>
      <vt:lpstr>IV. Road tax</vt:lpstr>
      <vt:lpstr>III. Fuel costs</vt:lpstr>
      <vt:lpstr>III. Insurrance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 Jansen</dc:creator>
  <cp:lastModifiedBy>Jan Jansen</cp:lastModifiedBy>
  <dcterms:created xsi:type="dcterms:W3CDTF">2024-06-05T08:58:25Z</dcterms:created>
  <dcterms:modified xsi:type="dcterms:W3CDTF">2024-06-11T11:06:48Z</dcterms:modified>
</cp:coreProperties>
</file>